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firstSheet="2" activeTab="9"/>
  </bookViews>
  <sheets>
    <sheet name="Standart" sheetId="1" r:id="rId1"/>
    <sheet name="Temp;effect" sheetId="2" r:id="rId2"/>
    <sheet name="Fishbone" sheetId="3" r:id="rId3"/>
    <sheet name="Ax" sheetId="4" r:id="rId4"/>
    <sheet name="SD" sheetId="5" r:id="rId5"/>
    <sheet name="Agria" sheetId="6" r:id="rId6"/>
    <sheet name="Distr+Uc" sheetId="7" r:id="rId7"/>
    <sheet name="Titration" sheetId="8" r:id="rId8"/>
    <sheet name="Recovery" sheetId="9" r:id="rId9"/>
    <sheet name="accuracy" sheetId="10" r:id="rId10"/>
    <sheet name="Sheet14" sheetId="11" r:id="rId11"/>
    <sheet name="Sheet15" sheetId="12" r:id="rId12"/>
  </sheets>
  <externalReferences>
    <externalReference r:id="rId15"/>
  </externalReferences>
  <definedNames>
    <definedName name="_xlnm.Print_Area" localSheetId="3">'Ax'!$A$1:$P$42</definedName>
    <definedName name="_xlnm.Print_Area" localSheetId="6">'Distr+Uc'!$A$1:$J$33</definedName>
    <definedName name="_xlnm.Print_Area" localSheetId="8">'Recovery'!$A:$IV</definedName>
    <definedName name="_xlnm.Print_Area" localSheetId="0">'Standart'!$A$1:$K$27</definedName>
    <definedName name="_xlnm.Print_Area" localSheetId="1">'Temp;effect'!$A$1:$L$22</definedName>
  </definedNames>
  <calcPr fullCalcOnLoad="1"/>
</workbook>
</file>

<file path=xl/comments4.xml><?xml version="1.0" encoding="utf-8"?>
<comments xmlns="http://schemas.openxmlformats.org/spreadsheetml/2006/main">
  <authors>
    <author>Kurs</author>
    <author>Veselin Kmetov</author>
  </authors>
  <commentList>
    <comment ref="D6" authorId="0">
      <text>
        <r>
          <rPr>
            <b/>
            <sz val="8"/>
            <rFont val="Tahoma"/>
            <family val="0"/>
          </rPr>
          <t>Kurs:</t>
        </r>
        <r>
          <rPr>
            <sz val="8"/>
            <rFont val="Tahoma"/>
            <family val="0"/>
          </rPr>
          <t xml:space="preserve">
Razdelihme go na 2 zashtoto povishihme N=4
</t>
        </r>
      </text>
    </comment>
    <comment ref="M2" authorId="1">
      <text>
        <r>
          <rPr>
            <b/>
            <sz val="8"/>
            <rFont val="Tahoma"/>
            <family val="0"/>
          </rPr>
          <t>Veselin Kmetov:</t>
        </r>
        <r>
          <rPr>
            <sz val="8"/>
            <rFont val="Tahoma"/>
            <family val="0"/>
          </rPr>
          <t xml:space="preserve">
II-I/II-I=III-I/III-I
</t>
        </r>
      </text>
    </comment>
  </commentList>
</comments>
</file>

<file path=xl/sharedStrings.xml><?xml version="1.0" encoding="utf-8"?>
<sst xmlns="http://schemas.openxmlformats.org/spreadsheetml/2006/main" count="260" uniqueCount="160">
  <si>
    <t>Value</t>
  </si>
  <si>
    <t>RSU</t>
  </si>
  <si>
    <t>diff</t>
  </si>
  <si>
    <t>diff^2</t>
  </si>
  <si>
    <t>B</t>
  </si>
  <si>
    <t>V_50</t>
  </si>
  <si>
    <t>V_1000</t>
  </si>
  <si>
    <t>V_2.5</t>
  </si>
  <si>
    <t>V_5</t>
  </si>
  <si>
    <t>V_7.5</t>
  </si>
  <si>
    <t>V_10</t>
  </si>
  <si>
    <t>V_1</t>
  </si>
  <si>
    <t>deltaT=</t>
  </si>
  <si>
    <t>Type</t>
  </si>
  <si>
    <t>(ml)</t>
  </si>
  <si>
    <t>std-unc</t>
  </si>
  <si>
    <t>ml</t>
  </si>
  <si>
    <t>distibution</t>
  </si>
  <si>
    <t>Std-unc</t>
  </si>
  <si>
    <t>mg/L</t>
  </si>
  <si>
    <t>C_stock</t>
  </si>
  <si>
    <t>C_stoc</t>
  </si>
  <si>
    <t>ug/ml</t>
  </si>
  <si>
    <t>mg/ml</t>
  </si>
  <si>
    <t>C_work_sol</t>
  </si>
  <si>
    <t>sum</t>
  </si>
  <si>
    <t>def</t>
  </si>
  <si>
    <t>A3</t>
  </si>
  <si>
    <t>A4</t>
  </si>
  <si>
    <t>Ax</t>
  </si>
  <si>
    <t>C3</t>
  </si>
  <si>
    <t>C4</t>
  </si>
  <si>
    <t>Val</t>
  </si>
  <si>
    <t>std_un</t>
  </si>
  <si>
    <t>Cx</t>
  </si>
  <si>
    <t>REU</t>
  </si>
  <si>
    <t>Ucomb</t>
  </si>
  <si>
    <t>Index</t>
  </si>
  <si>
    <t>Rucomb</t>
  </si>
  <si>
    <t>Uc</t>
  </si>
  <si>
    <t>Index %</t>
  </si>
  <si>
    <t>Изчисляване на неопределеността при AAS анализ след калибриране по метода на ограничаващите стандарти</t>
  </si>
  <si>
    <t>ТИП</t>
  </si>
  <si>
    <t>А</t>
  </si>
  <si>
    <t>В</t>
  </si>
  <si>
    <t>k=2</t>
  </si>
  <si>
    <t>Uy+-</t>
  </si>
  <si>
    <t>Cx=(C3(A4-Ax)+C4(Ax-A3))/(A4-A3)</t>
  </si>
  <si>
    <t>Изходен</t>
  </si>
  <si>
    <t>Пипета</t>
  </si>
  <si>
    <t>Колба</t>
  </si>
  <si>
    <t>Б</t>
  </si>
  <si>
    <t>a=</t>
  </si>
  <si>
    <t>u</t>
  </si>
  <si>
    <t>S=</t>
  </si>
  <si>
    <t>Средно</t>
  </si>
  <si>
    <t>RSD</t>
  </si>
  <si>
    <t>R_пр</t>
  </si>
  <si>
    <t>M_ст</t>
  </si>
  <si>
    <t>K</t>
  </si>
  <si>
    <t>R_ст</t>
  </si>
  <si>
    <t>M_пр</t>
  </si>
  <si>
    <t>Число</t>
  </si>
  <si>
    <t>Стойност</t>
  </si>
  <si>
    <t>S</t>
  </si>
  <si>
    <t>RSD%</t>
  </si>
  <si>
    <t>X2=</t>
  </si>
  <si>
    <t>Разлики</t>
  </si>
  <si>
    <t>Квадрати</t>
  </si>
  <si>
    <t>Сума</t>
  </si>
  <si>
    <t>u_c`</t>
  </si>
  <si>
    <t>U_y</t>
  </si>
  <si>
    <t>K=2</t>
  </si>
  <si>
    <t>Приноси</t>
  </si>
  <si>
    <t>Ruc =</t>
  </si>
  <si>
    <t>SquerRSD</t>
  </si>
  <si>
    <t>Sum</t>
  </si>
  <si>
    <t>SqRoot</t>
  </si>
  <si>
    <t>uc</t>
  </si>
  <si>
    <t xml:space="preserve">Правоъгълно </t>
  </si>
  <si>
    <t xml:space="preserve">РАЗПРЕДЕЛЕНИЯ </t>
  </si>
  <si>
    <t>a =&gt;</t>
  </si>
  <si>
    <t>Триъгълно</t>
  </si>
  <si>
    <t>Характеристики на обем на колба</t>
  </si>
  <si>
    <t>ЗАКОН ЗА РАЗПРОСТРАНЕНИЕ НА НЕОПРЕДЕЛЕНОСТТА</t>
  </si>
  <si>
    <t>u1=</t>
  </si>
  <si>
    <t>u2=</t>
  </si>
  <si>
    <t>u3=</t>
  </si>
  <si>
    <t>u4=</t>
  </si>
  <si>
    <t>u5=</t>
  </si>
  <si>
    <t>u6=</t>
  </si>
  <si>
    <t>u7=</t>
  </si>
  <si>
    <t>u8=</t>
  </si>
  <si>
    <t>u9=</t>
  </si>
  <si>
    <t>u10=</t>
  </si>
  <si>
    <t>u squr</t>
  </si>
  <si>
    <t>SUM</t>
  </si>
  <si>
    <t>Величина</t>
  </si>
  <si>
    <t>Неопределеност</t>
  </si>
  <si>
    <t>m(KHP)</t>
  </si>
  <si>
    <t>P(KHP)</t>
  </si>
  <si>
    <t>M(KHP)</t>
  </si>
  <si>
    <t>Rep</t>
  </si>
  <si>
    <t>V(T)</t>
  </si>
  <si>
    <t>X</t>
  </si>
  <si>
    <t>U</t>
  </si>
  <si>
    <t>RU</t>
  </si>
  <si>
    <t>C(NaOH)=</t>
  </si>
  <si>
    <t>diff=</t>
  </si>
  <si>
    <t>SQR</t>
  </si>
  <si>
    <t>Метод на ограничаващите стандарти</t>
  </si>
  <si>
    <t>Изчисляване на стандартно отклонение</t>
  </si>
  <si>
    <t>а= полуинтервал</t>
  </si>
  <si>
    <t>Изчисляване на неопределеността при приготвяне на стандарт</t>
  </si>
  <si>
    <t>ПРИМЕР ЗА СТАНДАРТИЗИРАНЕ НА РАЗТВОР НА NaOH чрез калиев-хидрогенфталат</t>
  </si>
  <si>
    <t>Recovery</t>
  </si>
  <si>
    <t>unit</t>
  </si>
  <si>
    <t>Components of uncertainty</t>
  </si>
  <si>
    <t>Su</t>
  </si>
  <si>
    <t>Matrix CRM BCR 484</t>
  </si>
  <si>
    <t>Results of Analysis of the Matrix CRM</t>
  </si>
  <si>
    <t>Replicate analysis results:</t>
  </si>
  <si>
    <t>Mean:</t>
  </si>
  <si>
    <t>Std deviation:</t>
  </si>
  <si>
    <t>std dev</t>
  </si>
  <si>
    <t>R</t>
  </si>
  <si>
    <r>
      <t>U(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 xml:space="preserve"> = 2</t>
    </r>
    <r>
      <rPr>
        <sz val="10"/>
        <rFont val="Arial"/>
        <family val="2"/>
      </rPr>
      <t>)</t>
    </r>
  </si>
  <si>
    <r>
      <t>C</t>
    </r>
    <r>
      <rPr>
        <vertAlign val="subscript"/>
        <sz val="10"/>
        <rFont val="Arial"/>
        <family val="2"/>
      </rPr>
      <t>CRM</t>
    </r>
  </si>
  <si>
    <r>
      <t>m</t>
    </r>
    <r>
      <rPr>
        <sz val="10"/>
        <rFont val="Arial"/>
        <family val="2"/>
      </rPr>
      <t>g/g</t>
    </r>
  </si>
  <si>
    <r>
      <t>C</t>
    </r>
    <r>
      <rPr>
        <vertAlign val="subscript"/>
        <sz val="10"/>
        <rFont val="Arial"/>
        <family val="2"/>
      </rPr>
      <t>found</t>
    </r>
  </si>
  <si>
    <r>
      <t>u</t>
    </r>
    <r>
      <rPr>
        <vertAlign val="subscript"/>
        <sz val="10"/>
        <rFont val="Arial"/>
        <family val="2"/>
      </rPr>
      <t>rel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C</t>
    </r>
    <r>
      <rPr>
        <vertAlign val="subscript"/>
        <sz val="10"/>
        <rFont val="Arial"/>
        <family val="2"/>
      </rPr>
      <t>CRM</t>
    </r>
    <r>
      <rPr>
        <sz val="10"/>
        <rFont val="Arial"/>
        <family val="2"/>
      </rPr>
      <t>)</t>
    </r>
  </si>
  <si>
    <r>
      <t>u</t>
    </r>
    <r>
      <rPr>
        <vertAlign val="subscript"/>
        <sz val="10"/>
        <rFont val="Arial"/>
        <family val="2"/>
      </rPr>
      <t>rel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C</t>
    </r>
    <r>
      <rPr>
        <vertAlign val="subscript"/>
        <sz val="10"/>
        <rFont val="Arial"/>
        <family val="2"/>
      </rPr>
      <t>found</t>
    </r>
    <r>
      <rPr>
        <sz val="10"/>
        <rFont val="Arial"/>
        <family val="2"/>
      </rPr>
      <t>)</t>
    </r>
  </si>
  <si>
    <t>Accuracy test</t>
  </si>
  <si>
    <t>Using CRM different from recovery study</t>
  </si>
  <si>
    <t>CRM</t>
  </si>
  <si>
    <t>measurand</t>
  </si>
  <si>
    <t>value</t>
  </si>
  <si>
    <t>uncertainty</t>
  </si>
  <si>
    <t>Rsu</t>
  </si>
  <si>
    <t>hypothetical</t>
  </si>
  <si>
    <t>Pb content</t>
  </si>
  <si>
    <t>(k=1)</t>
  </si>
  <si>
    <t>experimental determination of Pb in CRM</t>
  </si>
  <si>
    <t>result corrected for recovery</t>
  </si>
  <si>
    <t>En score</t>
  </si>
  <si>
    <t>En=</t>
  </si>
  <si>
    <t>accuracy confirmed</t>
  </si>
  <si>
    <r>
      <t>m</t>
    </r>
    <r>
      <rPr>
        <sz val="10"/>
        <rFont val="Arial CE"/>
        <family val="0"/>
      </rPr>
      <t>g/g</t>
    </r>
  </si>
  <si>
    <r>
      <t>w</t>
    </r>
    <r>
      <rPr>
        <vertAlign val="subscript"/>
        <sz val="10"/>
        <rFont val="Arial CE"/>
        <family val="2"/>
      </rPr>
      <t>Pb</t>
    </r>
  </si>
  <si>
    <r>
      <t>w</t>
    </r>
    <r>
      <rPr>
        <vertAlign val="subscript"/>
        <sz val="10"/>
        <rFont val="Arial CE"/>
        <family val="2"/>
      </rPr>
      <t>Pb,corr</t>
    </r>
  </si>
  <si>
    <t>Изчисляване на неопределеността при отчитане на обем</t>
  </si>
  <si>
    <t>Beta=</t>
  </si>
  <si>
    <t>a_Cal</t>
  </si>
  <si>
    <t>s_rep</t>
  </si>
  <si>
    <t>a_temp eff</t>
  </si>
  <si>
    <t>u_Cal</t>
  </si>
  <si>
    <t>u_temp'eff</t>
  </si>
  <si>
    <t>u_vol</t>
  </si>
  <si>
    <t>u_C_stock</t>
  </si>
  <si>
    <t>Cx=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</si>
</sst>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0.0%"/>
    <numFmt numFmtId="173" formatCode="0.000000"/>
    <numFmt numFmtId="174" formatCode="0.0000000"/>
    <numFmt numFmtId="175" formatCode="0.00000000"/>
    <numFmt numFmtId="176" formatCode="0.00000"/>
    <numFmt numFmtId="177" formatCode="0.0000"/>
    <numFmt numFmtId="178" formatCode="0.000"/>
    <numFmt numFmtId="179" formatCode="0.0"/>
    <numFmt numFmtId="180" formatCode="0.000000000000000000"/>
    <numFmt numFmtId="181" formatCode="0.000E+00;\䞔"/>
    <numFmt numFmtId="182" formatCode="0.000E+00;\쑐"/>
    <numFmt numFmtId="183" formatCode="#,##0\ &quot;kr&quot;;\-#,##0\ &quot;kr&quot;"/>
    <numFmt numFmtId="184" formatCode="#,##0\ &quot;kr&quot;;[Red]\-#,##0\ &quot;kr&quot;"/>
    <numFmt numFmtId="185" formatCode="#,##0.00\ &quot;kr&quot;;\-#,##0.00\ &quot;kr&quot;"/>
    <numFmt numFmtId="186" formatCode="#,##0.00\ &quot;kr&quot;;[Red]\-#,##0.00\ &quot;kr&quot;"/>
    <numFmt numFmtId="187" formatCode="_-* #,##0\ &quot;kr&quot;_-;\-* #,##0\ &quot;kr&quot;_-;_-* &quot;-&quot;\ &quot;kr&quot;_-;_-@_-"/>
    <numFmt numFmtId="188" formatCode="_-* #,##0\ _k_r_-;\-* #,##0\ _k_r_-;_-* &quot;-&quot;\ _k_r_-;_-@_-"/>
    <numFmt numFmtId="189" formatCode="_-* #,##0.00\ &quot;kr&quot;_-;\-* #,##0.00\ &quot;kr&quot;_-;_-* &quot;-&quot;??\ &quot;kr&quot;_-;_-@_-"/>
    <numFmt numFmtId="190" formatCode="_-* #,##0.00\ _k_r_-;\-* #,##0.00\ _k_r_-;_-* &quot;-&quot;??\ _k_r_-;_-@_-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#,##0\ &quot;Kč&quot;;\-#,##0\ &quot;Kč&quot;"/>
    <numFmt numFmtId="200" formatCode="#,##0\ &quot;Kč&quot;;[Red]\-#,##0\ &quot;Kč&quot;"/>
    <numFmt numFmtId="201" formatCode="#,##0.00\ &quot;Kč&quot;;\-#,##0.00\ &quot;Kč&quot;"/>
    <numFmt numFmtId="202" formatCode="#,##0.00\ &quot;Kč&quot;;[Red]\-#,##0.00\ &quot;Kč&quot;"/>
    <numFmt numFmtId="203" formatCode="_-* #,##0\ &quot;Kč&quot;_-;\-* #,##0\ &quot;Kč&quot;_-;_-* &quot;-&quot;\ &quot;Kč&quot;_-;_-@_-"/>
    <numFmt numFmtId="204" formatCode="_-* #,##0\ _K_č_-;\-* #,##0\ _K_č_-;_-* &quot;-&quot;\ _K_č_-;_-@_-"/>
    <numFmt numFmtId="205" formatCode="_-* #,##0.00\ &quot;Kč&quot;_-;\-* #,##0.00\ &quot;Kč&quot;_-;_-* &quot;-&quot;??\ &quot;Kč&quot;_-;_-@_-"/>
    <numFmt numFmtId="206" formatCode="_-* #,##0.00\ _K_č_-;\-* #,##0.00\ _K_č_-;_-* &quot;-&quot;??\ _K_č_-;_-@_-"/>
    <numFmt numFmtId="207" formatCode="0.000%"/>
    <numFmt numFmtId="208" formatCode="0.000000000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11.5"/>
      <name val="Arial"/>
      <family val="0"/>
    </font>
    <font>
      <sz val="8"/>
      <name val="Arial"/>
      <family val="0"/>
    </font>
    <font>
      <sz val="10"/>
      <name val="Times New Roman Cyr"/>
      <family val="0"/>
    </font>
    <font>
      <sz val="10.25"/>
      <name val="Times New Roman Cyr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i/>
      <sz val="10"/>
      <color indexed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vertAlign val="subscript"/>
      <sz val="10"/>
      <name val="Arial CE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2" fontId="0" fillId="0" borderId="4" xfId="21" applyNumberFormat="1" applyBorder="1" applyAlignment="1">
      <alignment/>
    </xf>
    <xf numFmtId="0" fontId="0" fillId="0" borderId="5" xfId="0" applyBorder="1" applyAlignment="1">
      <alignment/>
    </xf>
    <xf numFmtId="172" fontId="0" fillId="0" borderId="0" xfId="21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2" fontId="0" fillId="0" borderId="8" xfId="21" applyNumberFormat="1" applyBorder="1" applyAlignment="1">
      <alignment/>
    </xf>
    <xf numFmtId="0" fontId="0" fillId="0" borderId="9" xfId="0" applyBorder="1" applyAlignment="1">
      <alignment/>
    </xf>
    <xf numFmtId="0" fontId="0" fillId="3" borderId="3" xfId="0" applyFill="1" applyBorder="1" applyAlignment="1">
      <alignment/>
    </xf>
    <xf numFmtId="11" fontId="0" fillId="3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1" fontId="0" fillId="3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11" fontId="0" fillId="3" borderId="13" xfId="0" applyNumberFormat="1" applyFill="1" applyBorder="1" applyAlignment="1">
      <alignment/>
    </xf>
    <xf numFmtId="1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72" fontId="0" fillId="0" borderId="0" xfId="21" applyNumberFormat="1" applyBorder="1" applyAlignment="1">
      <alignment horizontal="center"/>
    </xf>
    <xf numFmtId="0" fontId="0" fillId="4" borderId="14" xfId="0" applyFill="1" applyBorder="1" applyAlignment="1">
      <alignment/>
    </xf>
    <xf numFmtId="11" fontId="2" fillId="0" borderId="0" xfId="0" applyNumberFormat="1" applyFont="1" applyBorder="1" applyAlignment="1">
      <alignment/>
    </xf>
    <xf numFmtId="172" fontId="0" fillId="0" borderId="0" xfId="21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11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1" fontId="0" fillId="0" borderId="17" xfId="0" applyNumberFormat="1" applyBorder="1" applyAlignment="1">
      <alignment/>
    </xf>
    <xf numFmtId="11" fontId="0" fillId="0" borderId="18" xfId="0" applyNumberFormat="1" applyBorder="1" applyAlignment="1">
      <alignment/>
    </xf>
    <xf numFmtId="0" fontId="1" fillId="5" borderId="18" xfId="0" applyFont="1" applyFill="1" applyBorder="1" applyAlignment="1">
      <alignment horizontal="center"/>
    </xf>
    <xf numFmtId="9" fontId="0" fillId="0" borderId="17" xfId="21" applyBorder="1" applyAlignment="1">
      <alignment/>
    </xf>
    <xf numFmtId="9" fontId="0" fillId="0" borderId="18" xfId="21" applyBorder="1" applyAlignment="1">
      <alignment/>
    </xf>
    <xf numFmtId="10" fontId="0" fillId="0" borderId="0" xfId="21" applyNumberFormat="1" applyAlignment="1">
      <alignment/>
    </xf>
    <xf numFmtId="0" fontId="0" fillId="6" borderId="3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12" xfId="0" applyFill="1" applyBorder="1" applyAlignment="1">
      <alignment/>
    </xf>
    <xf numFmtId="11" fontId="0" fillId="6" borderId="13" xfId="0" applyNumberFormat="1" applyFill="1" applyBorder="1" applyAlignment="1">
      <alignment/>
    </xf>
    <xf numFmtId="0" fontId="1" fillId="0" borderId="1" xfId="0" applyFont="1" applyBorder="1" applyAlignment="1">
      <alignment/>
    </xf>
    <xf numFmtId="0" fontId="0" fillId="4" borderId="13" xfId="0" applyFill="1" applyBorder="1" applyAlignment="1">
      <alignment/>
    </xf>
    <xf numFmtId="10" fontId="0" fillId="2" borderId="12" xfId="21" applyNumberFormat="1" applyFill="1" applyBorder="1" applyAlignment="1">
      <alignment horizontal="center"/>
    </xf>
    <xf numFmtId="10" fontId="0" fillId="2" borderId="8" xfId="21" applyNumberFormat="1" applyFill="1" applyBorder="1" applyAlignment="1">
      <alignment horizontal="center"/>
    </xf>
    <xf numFmtId="10" fontId="0" fillId="2" borderId="13" xfId="21" applyNumberFormat="1" applyFill="1" applyBorder="1" applyAlignment="1">
      <alignment horizontal="center"/>
    </xf>
    <xf numFmtId="10" fontId="5" fillId="7" borderId="0" xfId="21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/>
    </xf>
    <xf numFmtId="0" fontId="0" fillId="8" borderId="0" xfId="0" applyFill="1" applyAlignment="1">
      <alignment/>
    </xf>
    <xf numFmtId="0" fontId="0" fillId="5" borderId="0" xfId="0" applyFill="1" applyAlignment="1">
      <alignment/>
    </xf>
    <xf numFmtId="0" fontId="0" fillId="0" borderId="20" xfId="0" applyBorder="1" applyAlignment="1">
      <alignment/>
    </xf>
    <xf numFmtId="0" fontId="1" fillId="5" borderId="0" xfId="0" applyFont="1" applyFill="1" applyAlignment="1">
      <alignment/>
    </xf>
    <xf numFmtId="17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9" borderId="0" xfId="0" applyFill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9" fontId="0" fillId="0" borderId="0" xfId="21" applyAlignment="1">
      <alignment/>
    </xf>
    <xf numFmtId="173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1" fillId="10" borderId="0" xfId="0" applyFont="1" applyFill="1" applyAlignment="1">
      <alignment/>
    </xf>
    <xf numFmtId="0" fontId="0" fillId="4" borderId="1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4" borderId="0" xfId="0" applyFill="1" applyAlignment="1">
      <alignment/>
    </xf>
    <xf numFmtId="0" fontId="0" fillId="9" borderId="19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0" borderId="1" xfId="0" applyBorder="1" applyAlignment="1">
      <alignment horizontal="center"/>
    </xf>
    <xf numFmtId="172" fontId="0" fillId="0" borderId="1" xfId="21" applyNumberFormat="1" applyBorder="1" applyAlignment="1">
      <alignment horizontal="center"/>
    </xf>
    <xf numFmtId="0" fontId="7" fillId="0" borderId="0" xfId="20" applyFont="1">
      <alignment/>
      <protection/>
    </xf>
    <xf numFmtId="0" fontId="1" fillId="0" borderId="0" xfId="20" applyFont="1">
      <alignment/>
      <protection/>
    </xf>
    <xf numFmtId="0" fontId="0" fillId="0" borderId="0" xfId="20" applyFont="1" applyAlignment="1">
      <alignment horizontal="center"/>
      <protection/>
    </xf>
    <xf numFmtId="0" fontId="0" fillId="0" borderId="0" xfId="20" applyFont="1">
      <alignment/>
      <protection/>
    </xf>
    <xf numFmtId="0" fontId="1" fillId="10" borderId="8" xfId="20" applyFont="1" applyFill="1" applyBorder="1" applyAlignment="1">
      <alignment horizontal="center"/>
      <protection/>
    </xf>
    <xf numFmtId="0" fontId="1" fillId="0" borderId="8" xfId="20" applyFont="1" applyBorder="1" applyAlignment="1">
      <alignment horizontal="center"/>
      <protection/>
    </xf>
    <xf numFmtId="0" fontId="0" fillId="0" borderId="0" xfId="20" applyFont="1" applyBorder="1">
      <alignment/>
      <protection/>
    </xf>
    <xf numFmtId="0" fontId="0" fillId="0" borderId="0" xfId="20" applyFont="1" quotePrefix="1">
      <alignment/>
      <protection/>
    </xf>
    <xf numFmtId="0" fontId="1" fillId="0" borderId="0" xfId="20" applyFont="1">
      <alignment/>
      <protection/>
    </xf>
    <xf numFmtId="0" fontId="14" fillId="0" borderId="0" xfId="20" applyFont="1">
      <alignment/>
      <protection/>
    </xf>
    <xf numFmtId="0" fontId="1" fillId="10" borderId="0" xfId="20" applyFont="1" applyFill="1">
      <alignment/>
      <protection/>
    </xf>
    <xf numFmtId="0" fontId="16" fillId="0" borderId="0" xfId="20" applyFont="1" applyAlignment="1">
      <alignment horizontal="center"/>
      <protection/>
    </xf>
    <xf numFmtId="0" fontId="0" fillId="6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ont="1">
      <alignment/>
      <protection/>
    </xf>
    <xf numFmtId="0" fontId="0" fillId="0" borderId="0" xfId="20">
      <alignment/>
      <protection/>
    </xf>
    <xf numFmtId="0" fontId="14" fillId="0" borderId="0" xfId="20" applyFont="1" applyAlignment="1">
      <alignment horizontal="center"/>
      <protection/>
    </xf>
    <xf numFmtId="0" fontId="17" fillId="0" borderId="0" xfId="20" applyFont="1" applyAlignment="1">
      <alignment horizontal="center"/>
      <protection/>
    </xf>
    <xf numFmtId="0" fontId="14" fillId="0" borderId="0" xfId="20" applyFont="1">
      <alignment/>
      <protection/>
    </xf>
    <xf numFmtId="0" fontId="0" fillId="6" borderId="0" xfId="20" applyFont="1" applyFill="1">
      <alignment/>
      <protection/>
    </xf>
    <xf numFmtId="0" fontId="0" fillId="6" borderId="0" xfId="0" applyFont="1" applyFill="1" applyAlignment="1">
      <alignment/>
    </xf>
    <xf numFmtId="176" fontId="1" fillId="5" borderId="0" xfId="0" applyNumberFormat="1" applyFont="1" applyFill="1" applyAlignment="1">
      <alignment/>
    </xf>
    <xf numFmtId="173" fontId="0" fillId="6" borderId="0" xfId="0" applyNumberFormat="1" applyFont="1" applyFill="1" applyAlignment="1">
      <alignment/>
    </xf>
    <xf numFmtId="0" fontId="19" fillId="0" borderId="0" xfId="19" applyFont="1">
      <alignment/>
      <protection/>
    </xf>
    <xf numFmtId="0" fontId="18" fillId="0" borderId="0" xfId="19">
      <alignment/>
      <protection/>
    </xf>
    <xf numFmtId="0" fontId="16" fillId="0" borderId="0" xfId="19" applyFont="1">
      <alignment/>
      <protection/>
    </xf>
    <xf numFmtId="2" fontId="18" fillId="0" borderId="0" xfId="19" applyNumberFormat="1">
      <alignment/>
      <protection/>
    </xf>
    <xf numFmtId="10" fontId="18" fillId="0" borderId="0" xfId="21" applyNumberFormat="1" applyAlignment="1">
      <alignment/>
    </xf>
    <xf numFmtId="11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5" borderId="1" xfId="0" applyFill="1" applyBorder="1" applyAlignment="1">
      <alignment/>
    </xf>
    <xf numFmtId="11" fontId="0" fillId="5" borderId="1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178" fontId="1" fillId="5" borderId="0" xfId="0" applyNumberFormat="1" applyFont="1" applyFill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21" fillId="12" borderId="0" xfId="0" applyFont="1" applyFill="1" applyBorder="1" applyAlignment="1">
      <alignment horizontal="center"/>
    </xf>
    <xf numFmtId="0" fontId="22" fillId="12" borderId="4" xfId="0" applyFont="1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9" fillId="13" borderId="0" xfId="0" applyFont="1" applyFill="1" applyBorder="1" applyAlignment="1">
      <alignment horizontal="center"/>
    </xf>
    <xf numFmtId="178" fontId="1" fillId="5" borderId="18" xfId="0" applyNumberFormat="1" applyFont="1" applyFill="1" applyBorder="1" applyAlignment="1">
      <alignment/>
    </xf>
    <xf numFmtId="2" fontId="6" fillId="5" borderId="3" xfId="0" applyNumberFormat="1" applyFont="1" applyFill="1" applyBorder="1" applyAlignment="1">
      <alignment horizontal="right"/>
    </xf>
    <xf numFmtId="2" fontId="6" fillId="5" borderId="19" xfId="0" applyNumberFormat="1" applyFont="1" applyFill="1" applyBorder="1" applyAlignment="1">
      <alignment/>
    </xf>
    <xf numFmtId="2" fontId="6" fillId="5" borderId="12" xfId="0" applyNumberFormat="1" applyFont="1" applyFill="1" applyBorder="1" applyAlignment="1">
      <alignment horizontal="right"/>
    </xf>
    <xf numFmtId="2" fontId="6" fillId="5" borderId="13" xfId="0" applyNumberFormat="1" applyFont="1" applyFill="1" applyBorder="1" applyAlignment="1">
      <alignment/>
    </xf>
    <xf numFmtId="0" fontId="0" fillId="7" borderId="8" xfId="0" applyFill="1" applyBorder="1" applyAlignment="1">
      <alignment/>
    </xf>
    <xf numFmtId="0" fontId="0" fillId="7" borderId="13" xfId="0" applyFill="1" applyBorder="1" applyAlignment="1">
      <alignment/>
    </xf>
    <xf numFmtId="0" fontId="7" fillId="9" borderId="3" xfId="0" applyFont="1" applyFill="1" applyBorder="1" applyAlignment="1">
      <alignment horizontal="center" wrapText="1"/>
    </xf>
    <xf numFmtId="0" fontId="7" fillId="9" borderId="4" xfId="0" applyFont="1" applyFill="1" applyBorder="1" applyAlignment="1">
      <alignment horizontal="center" wrapText="1"/>
    </xf>
    <xf numFmtId="0" fontId="6" fillId="9" borderId="3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 wrapText="1"/>
    </xf>
    <xf numFmtId="0" fontId="7" fillId="9" borderId="17" xfId="0" applyFont="1" applyFill="1" applyBorder="1" applyAlignment="1">
      <alignment horizontal="center" wrapText="1"/>
    </xf>
    <xf numFmtId="0" fontId="7" fillId="9" borderId="18" xfId="0" applyFont="1" applyFill="1" applyBorder="1" applyAlignment="1">
      <alignment horizontal="center" wrapText="1"/>
    </xf>
    <xf numFmtId="0" fontId="1" fillId="6" borderId="8" xfId="20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b_gf_aas_val" xfId="19"/>
    <cellStyle name="Normal_Pb_Soil_GFAA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Standart!$G$15</c:f>
              <c:strCache>
                <c:ptCount val="1"/>
                <c:pt idx="0">
                  <c:v>Index 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Standart!$H$14:$J$14</c:f>
              <c:strCache/>
            </c:strRef>
          </c:cat>
          <c:val>
            <c:numRef>
              <c:f>Standart!$H$15:$J$15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'Ax'!$M$14:$M$16</c:f>
              <c:numCache/>
            </c:numRef>
          </c:xVal>
          <c:yVal>
            <c:numRef>
              <c:f>'Ax'!$N$14:$N$16</c:f>
              <c:numCache/>
            </c:numRef>
          </c:yVal>
          <c:smooth val="0"/>
        </c:ser>
        <c:axId val="15927851"/>
        <c:axId val="9132932"/>
      </c:scatterChart>
      <c:valAx>
        <c:axId val="159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2932"/>
        <c:crosses val="autoZero"/>
        <c:crossBetween val="midCat"/>
        <c:dispUnits/>
      </c:valAx>
      <c:valAx>
        <c:axId val="91329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927851"/>
        <c:crosses val="autoZero"/>
        <c:crossBetween val="midCat"/>
        <c:dispUnits/>
      </c:valAx>
      <c:spPr>
        <a:solidFill>
          <a:srgbClr val="C0C0C0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75"/>
          <c:y val="0"/>
          <c:w val="0.538"/>
          <c:h val="0.97"/>
        </c:manualLayout>
      </c:layout>
      <c:pieChart>
        <c:varyColors val="1"/>
        <c:ser>
          <c:idx val="0"/>
          <c:order val="0"/>
          <c:tx>
            <c:strRef>
              <c:f>'Ax'!$E$14</c:f>
              <c:strCache>
                <c:ptCount val="1"/>
                <c:pt idx="0">
                  <c:v>Index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'Ax'!$F$13:$J$13</c:f>
              <c:strCache/>
            </c:strRef>
          </c:cat>
          <c:val>
            <c:numRef>
              <c:f>'Ax'!$F$14:$J$14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37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Agria!$E$15</c:f>
              <c:strCache>
                <c:ptCount val="1"/>
                <c:pt idx="0">
                  <c:v>Приноси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Agria!$F$14:$K$14</c:f>
              <c:strCache/>
            </c:strRef>
          </c:cat>
          <c:val>
            <c:numRef>
              <c:f>Agria!$F$15:$K$15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375"/>
          <c:w val="0.83825"/>
          <c:h val="0.973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Titration!$E$19:$J$19</c:f>
              <c:strCache/>
            </c:strRef>
          </c:cat>
          <c:val>
            <c:numRef>
              <c:f>Titration!$E$20:$J$20</c:f>
              <c:numCache/>
            </c:numRef>
          </c:val>
          <c:shape val="box"/>
        </c:ser>
        <c:shape val="box"/>
        <c:axId val="15087525"/>
        <c:axId val="1569998"/>
      </c:bar3DChart>
      <c:catAx>
        <c:axId val="15087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569998"/>
        <c:crosses val="autoZero"/>
        <c:auto val="1"/>
        <c:lblOffset val="100"/>
        <c:noMultiLvlLbl val="0"/>
      </c:catAx>
      <c:valAx>
        <c:axId val="15699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0875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0.emf" /><Relationship Id="rId3" Type="http://schemas.openxmlformats.org/officeDocument/2006/relationships/image" Target="../media/image1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57150</xdr:rowOff>
    </xdr:from>
    <xdr:to>
      <xdr:col>4</xdr:col>
      <xdr:colOff>600075</xdr:colOff>
      <xdr:row>23</xdr:row>
      <xdr:rowOff>152400</xdr:rowOff>
    </xdr:to>
    <xdr:graphicFrame>
      <xdr:nvGraphicFramePr>
        <xdr:cNvPr id="1" name="Chart 3"/>
        <xdr:cNvGraphicFramePr/>
      </xdr:nvGraphicFramePr>
      <xdr:xfrm>
        <a:off x="552450" y="2038350"/>
        <a:ext cx="24860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8</xdr:row>
      <xdr:rowOff>66675</xdr:rowOff>
    </xdr:from>
    <xdr:to>
      <xdr:col>13</xdr:col>
      <xdr:colOff>590550</xdr:colOff>
      <xdr:row>36</xdr:row>
      <xdr:rowOff>28575</xdr:rowOff>
    </xdr:to>
    <xdr:pic>
      <xdr:nvPicPr>
        <xdr:cNvPr id="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62075"/>
          <a:ext cx="8467725" cy="449580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0.0915</cdr:x>
      <cdr:y>0.3295</cdr:y>
    </cdr:from>
    <cdr:to>
      <cdr:x>0.72</cdr:x>
      <cdr:y>0.3295</cdr:y>
    </cdr:to>
    <cdr:sp>
      <cdr:nvSpPr>
        <cdr:cNvPr id="1" name="Line 1"/>
        <cdr:cNvSpPr>
          <a:spLocks/>
        </cdr:cNvSpPr>
      </cdr:nvSpPr>
      <cdr:spPr>
        <a:xfrm flipV="1">
          <a:off x="485775" y="1076325"/>
          <a:ext cx="33909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</cdr:x>
      <cdr:y>0.3295</cdr:y>
    </cdr:from>
    <cdr:to>
      <cdr:x>0.72</cdr:x>
      <cdr:y>0.86775</cdr:y>
    </cdr:to>
    <cdr:sp>
      <cdr:nvSpPr>
        <cdr:cNvPr id="2" name="Line 2"/>
        <cdr:cNvSpPr>
          <a:spLocks/>
        </cdr:cNvSpPr>
      </cdr:nvSpPr>
      <cdr:spPr>
        <a:xfrm flipH="1">
          <a:off x="3876675" y="1076325"/>
          <a:ext cx="0" cy="1771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15</xdr:row>
      <xdr:rowOff>142875</xdr:rowOff>
    </xdr:from>
    <xdr:to>
      <xdr:col>14</xdr:col>
      <xdr:colOff>533400</xdr:colOff>
      <xdr:row>35</xdr:row>
      <xdr:rowOff>123825</xdr:rowOff>
    </xdr:to>
    <xdr:graphicFrame>
      <xdr:nvGraphicFramePr>
        <xdr:cNvPr id="1" name="Chart 4"/>
        <xdr:cNvGraphicFramePr/>
      </xdr:nvGraphicFramePr>
      <xdr:xfrm>
        <a:off x="4057650" y="3448050"/>
        <a:ext cx="53911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15</xdr:row>
      <xdr:rowOff>9525</xdr:rowOff>
    </xdr:from>
    <xdr:to>
      <xdr:col>6</xdr:col>
      <xdr:colOff>38100</xdr:colOff>
      <xdr:row>33</xdr:row>
      <xdr:rowOff>152400</xdr:rowOff>
    </xdr:to>
    <xdr:graphicFrame>
      <xdr:nvGraphicFramePr>
        <xdr:cNvPr id="2" name="Chart 3"/>
        <xdr:cNvGraphicFramePr/>
      </xdr:nvGraphicFramePr>
      <xdr:xfrm>
        <a:off x="114300" y="3314700"/>
        <a:ext cx="356235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219075</xdr:colOff>
      <xdr:row>4</xdr:row>
      <xdr:rowOff>76200</xdr:rowOff>
    </xdr:from>
    <xdr:to>
      <xdr:col>13</xdr:col>
      <xdr:colOff>371475</xdr:colOff>
      <xdr:row>6</xdr:row>
      <xdr:rowOff>0</xdr:rowOff>
    </xdr:to>
    <xdr:sp>
      <xdr:nvSpPr>
        <xdr:cNvPr id="3" name="AutoShape 10"/>
        <xdr:cNvSpPr>
          <a:spLocks/>
        </xdr:cNvSpPr>
      </xdr:nvSpPr>
      <xdr:spPr>
        <a:xfrm>
          <a:off x="7915275" y="1333500"/>
          <a:ext cx="762000" cy="3048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3</xdr:row>
      <xdr:rowOff>104775</xdr:rowOff>
    </xdr:from>
    <xdr:to>
      <xdr:col>15</xdr:col>
      <xdr:colOff>28575</xdr:colOff>
      <xdr:row>5</xdr:row>
      <xdr:rowOff>28575</xdr:rowOff>
    </xdr:to>
    <xdr:sp>
      <xdr:nvSpPr>
        <xdr:cNvPr id="4" name="AutoShape 11"/>
        <xdr:cNvSpPr>
          <a:spLocks/>
        </xdr:cNvSpPr>
      </xdr:nvSpPr>
      <xdr:spPr>
        <a:xfrm>
          <a:off x="7858125" y="1171575"/>
          <a:ext cx="1695450" cy="3048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8</xdr:row>
      <xdr:rowOff>76200</xdr:rowOff>
    </xdr:from>
    <xdr:to>
      <xdr:col>13</xdr:col>
      <xdr:colOff>428625</xdr:colOff>
      <xdr:row>9</xdr:row>
      <xdr:rowOff>123825</xdr:rowOff>
    </xdr:to>
    <xdr:sp>
      <xdr:nvSpPr>
        <xdr:cNvPr id="5" name="AutoShape 12"/>
        <xdr:cNvSpPr>
          <a:spLocks/>
        </xdr:cNvSpPr>
      </xdr:nvSpPr>
      <xdr:spPr>
        <a:xfrm>
          <a:off x="8001000" y="2105025"/>
          <a:ext cx="733425" cy="2190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8</xdr:row>
      <xdr:rowOff>114300</xdr:rowOff>
    </xdr:from>
    <xdr:to>
      <xdr:col>15</xdr:col>
      <xdr:colOff>0</xdr:colOff>
      <xdr:row>10</xdr:row>
      <xdr:rowOff>161925</xdr:rowOff>
    </xdr:to>
    <xdr:sp>
      <xdr:nvSpPr>
        <xdr:cNvPr id="6" name="AutoShape 13"/>
        <xdr:cNvSpPr>
          <a:spLocks/>
        </xdr:cNvSpPr>
      </xdr:nvSpPr>
      <xdr:spPr>
        <a:xfrm>
          <a:off x="7772400" y="2143125"/>
          <a:ext cx="1752600" cy="42862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18</xdr:row>
      <xdr:rowOff>76200</xdr:rowOff>
    </xdr:from>
    <xdr:to>
      <xdr:col>13</xdr:col>
      <xdr:colOff>323850</xdr:colOff>
      <xdr:row>34</xdr:row>
      <xdr:rowOff>66675</xdr:rowOff>
    </xdr:to>
    <xdr:grpSp>
      <xdr:nvGrpSpPr>
        <xdr:cNvPr id="7" name="Group 25"/>
        <xdr:cNvGrpSpPr>
          <a:grpSpLocks/>
        </xdr:cNvGrpSpPr>
      </xdr:nvGrpSpPr>
      <xdr:grpSpPr>
        <a:xfrm>
          <a:off x="4238625" y="3867150"/>
          <a:ext cx="4391025" cy="2647950"/>
          <a:chOff x="445" y="363"/>
          <a:chExt cx="461" cy="278"/>
        </a:xfrm>
        <a:solidFill>
          <a:srgbClr val="FFFFFF"/>
        </a:solidFill>
      </xdr:grpSpPr>
      <xdr:sp>
        <xdr:nvSpPr>
          <xdr:cNvPr id="8" name="TextBox 17"/>
          <xdr:cNvSpPr txBox="1">
            <a:spLocks noChangeArrowheads="1"/>
          </xdr:cNvSpPr>
        </xdr:nvSpPr>
        <xdr:spPr>
          <a:xfrm>
            <a:off x="445" y="427"/>
            <a:ext cx="45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AX</a:t>
            </a:r>
          </a:p>
        </xdr:txBody>
      </xdr:sp>
      <xdr:grpSp>
        <xdr:nvGrpSpPr>
          <xdr:cNvPr id="9" name="Group 24"/>
          <xdr:cNvGrpSpPr>
            <a:grpSpLocks/>
          </xdr:cNvGrpSpPr>
        </xdr:nvGrpSpPr>
        <xdr:grpSpPr>
          <a:xfrm>
            <a:off x="491" y="363"/>
            <a:ext cx="415" cy="278"/>
            <a:chOff x="491" y="363"/>
            <a:chExt cx="415" cy="278"/>
          </a:xfrm>
          <a:solidFill>
            <a:srgbClr val="FFFFFF"/>
          </a:solidFill>
        </xdr:grpSpPr>
        <xdr:sp>
          <xdr:nvSpPr>
            <xdr:cNvPr id="10" name="TextBox 15"/>
            <xdr:cNvSpPr txBox="1">
              <a:spLocks noChangeArrowheads="1"/>
            </xdr:cNvSpPr>
          </xdr:nvSpPr>
          <xdr:spPr>
            <a:xfrm>
              <a:off x="707" y="594"/>
              <a:ext cx="45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C3</a:t>
              </a:r>
            </a:p>
          </xdr:txBody>
        </xdr:sp>
        <xdr:sp>
          <xdr:nvSpPr>
            <xdr:cNvPr id="11" name="TextBox 16"/>
            <xdr:cNvSpPr txBox="1">
              <a:spLocks noChangeArrowheads="1"/>
            </xdr:cNvSpPr>
          </xdr:nvSpPr>
          <xdr:spPr>
            <a:xfrm>
              <a:off x="861" y="603"/>
              <a:ext cx="45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C4</a:t>
              </a:r>
            </a:p>
          </xdr:txBody>
        </xdr:sp>
        <xdr:grpSp>
          <xdr:nvGrpSpPr>
            <xdr:cNvPr id="12" name="Group 20"/>
            <xdr:cNvGrpSpPr>
              <a:grpSpLocks/>
            </xdr:cNvGrpSpPr>
          </xdr:nvGrpSpPr>
          <xdr:grpSpPr>
            <a:xfrm>
              <a:off x="492" y="406"/>
              <a:ext cx="392" cy="198"/>
              <a:chOff x="492" y="406"/>
              <a:chExt cx="392" cy="198"/>
            </a:xfrm>
            <a:solidFill>
              <a:srgbClr val="FFFFFF"/>
            </a:solidFill>
          </xdr:grpSpPr>
          <xdr:grpSp>
            <xdr:nvGrpSpPr>
              <xdr:cNvPr id="13" name="Group 14"/>
              <xdr:cNvGrpSpPr>
                <a:grpSpLocks/>
              </xdr:cNvGrpSpPr>
            </xdr:nvGrpSpPr>
            <xdr:grpSpPr>
              <a:xfrm>
                <a:off x="753" y="417"/>
                <a:ext cx="131" cy="187"/>
                <a:chOff x="698" y="362"/>
                <a:chExt cx="131" cy="176"/>
              </a:xfrm>
              <a:solidFill>
                <a:srgbClr val="FFFFFF"/>
              </a:solidFill>
            </xdr:grpSpPr>
            <xdr:sp>
              <xdr:nvSpPr>
                <xdr:cNvPr id="14" name="Line 5"/>
                <xdr:cNvSpPr>
                  <a:spLocks/>
                </xdr:cNvSpPr>
              </xdr:nvSpPr>
              <xdr:spPr>
                <a:xfrm>
                  <a:off x="698" y="417"/>
                  <a:ext cx="0" cy="118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Line 6"/>
                <xdr:cNvSpPr>
                  <a:spLocks/>
                </xdr:cNvSpPr>
              </xdr:nvSpPr>
              <xdr:spPr>
                <a:xfrm flipH="1">
                  <a:off x="829" y="362"/>
                  <a:ext cx="0" cy="176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6" name="Line 18"/>
              <xdr:cNvSpPr>
                <a:spLocks/>
              </xdr:cNvSpPr>
            </xdr:nvSpPr>
            <xdr:spPr>
              <a:xfrm>
                <a:off x="495" y="470"/>
                <a:ext cx="256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Line 19"/>
              <xdr:cNvSpPr>
                <a:spLocks/>
              </xdr:cNvSpPr>
            </xdr:nvSpPr>
            <xdr:spPr>
              <a:xfrm>
                <a:off x="492" y="406"/>
                <a:ext cx="391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8" name="TextBox 21"/>
            <xdr:cNvSpPr txBox="1">
              <a:spLocks noChangeArrowheads="1"/>
            </xdr:cNvSpPr>
          </xdr:nvSpPr>
          <xdr:spPr>
            <a:xfrm>
              <a:off x="799" y="561"/>
              <a:ext cx="45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CX</a:t>
              </a:r>
            </a:p>
          </xdr:txBody>
        </xdr:sp>
        <xdr:sp>
          <xdr:nvSpPr>
            <xdr:cNvPr id="19" name="TextBox 22"/>
            <xdr:cNvSpPr txBox="1">
              <a:spLocks noChangeArrowheads="1"/>
            </xdr:cNvSpPr>
          </xdr:nvSpPr>
          <xdr:spPr>
            <a:xfrm>
              <a:off x="495" y="363"/>
              <a:ext cx="45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A4</a:t>
              </a:r>
            </a:p>
          </xdr:txBody>
        </xdr:sp>
        <xdr:sp>
          <xdr:nvSpPr>
            <xdr:cNvPr id="20" name="TextBox 23"/>
            <xdr:cNvSpPr txBox="1">
              <a:spLocks noChangeArrowheads="1"/>
            </xdr:cNvSpPr>
          </xdr:nvSpPr>
          <xdr:spPr>
            <a:xfrm>
              <a:off x="491" y="475"/>
              <a:ext cx="45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A3</a:t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17</xdr:row>
      <xdr:rowOff>152400</xdr:rowOff>
    </xdr:from>
    <xdr:to>
      <xdr:col>7</xdr:col>
      <xdr:colOff>200025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1009650" y="2924175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21</xdr:row>
      <xdr:rowOff>0</xdr:rowOff>
    </xdr:from>
    <xdr:to>
      <xdr:col>8</xdr:col>
      <xdr:colOff>95250</xdr:colOff>
      <xdr:row>37</xdr:row>
      <xdr:rowOff>19050</xdr:rowOff>
    </xdr:to>
    <xdr:graphicFrame>
      <xdr:nvGraphicFramePr>
        <xdr:cNvPr id="1" name="Chart 2"/>
        <xdr:cNvGraphicFramePr/>
      </xdr:nvGraphicFramePr>
      <xdr:xfrm>
        <a:off x="742950" y="3667125"/>
        <a:ext cx="46863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so\TrainMic\TrainMic'Plovdiv\Pb_gf_aas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eatability"/>
      <sheetName val="recovery"/>
      <sheetName val="linearity"/>
      <sheetName val="robustness"/>
    </sheetNames>
    <sheetDataSet>
      <sheetData sheetId="1">
        <row r="26">
          <cell r="B26">
            <v>0.9600357888458098</v>
          </cell>
          <cell r="C26">
            <v>0.025388997081110365</v>
          </cell>
          <cell r="D26">
            <v>0.026445886055595853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oleObject" Target="../embeddings/oleObject_3_1.bin" /><Relationship Id="rId4" Type="http://schemas.openxmlformats.org/officeDocument/2006/relationships/oleObject" Target="../embeddings/oleObject_3_2.bin" /><Relationship Id="rId5" Type="http://schemas.openxmlformats.org/officeDocument/2006/relationships/vmlDrawing" Target="../drawings/vmlDrawing4.vm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G26" sqref="G26"/>
    </sheetView>
  </sheetViews>
  <sheetFormatPr defaultColWidth="9.140625" defaultRowHeight="12.75"/>
  <cols>
    <col min="6" max="6" width="9.57421875" style="0" bestFit="1" customWidth="1"/>
    <col min="8" max="8" width="11.8515625" style="0" customWidth="1"/>
    <col min="9" max="10" width="10.57421875" style="0" bestFit="1" customWidth="1"/>
    <col min="16" max="16" width="12.421875" style="0" bestFit="1" customWidth="1"/>
    <col min="17" max="17" width="14.00390625" style="0" bestFit="1" customWidth="1"/>
    <col min="18" max="18" width="12.421875" style="0" bestFit="1" customWidth="1"/>
  </cols>
  <sheetData>
    <row r="1" spans="1:10" ht="18">
      <c r="A1" s="141" t="s">
        <v>113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8" customHeight="1">
      <c r="F2" t="s">
        <v>158</v>
      </c>
    </row>
    <row r="3" spans="4:6" ht="12.75">
      <c r="D3" s="62" t="s">
        <v>52</v>
      </c>
      <c r="E3" s="124">
        <v>2</v>
      </c>
      <c r="F3">
        <f>E3/SQRT(3)</f>
        <v>1.1547005383792517</v>
      </c>
    </row>
    <row r="5" spans="5:18" ht="13.5" thickBot="1">
      <c r="E5" s="29" t="s">
        <v>0</v>
      </c>
      <c r="F5" s="30" t="s">
        <v>18</v>
      </c>
      <c r="G5" s="30" t="s">
        <v>1</v>
      </c>
      <c r="H5" s="30" t="s">
        <v>21</v>
      </c>
      <c r="I5" s="30" t="s">
        <v>11</v>
      </c>
      <c r="J5" s="30" t="s">
        <v>6</v>
      </c>
      <c r="M5" s="2" t="s">
        <v>65</v>
      </c>
      <c r="N5" t="s">
        <v>56</v>
      </c>
      <c r="O5" t="s">
        <v>75</v>
      </c>
      <c r="P5" t="s">
        <v>76</v>
      </c>
      <c r="Q5" t="s">
        <v>77</v>
      </c>
      <c r="R5" t="s">
        <v>78</v>
      </c>
    </row>
    <row r="6" spans="1:18" ht="13.5" thickBot="1">
      <c r="A6" t="s">
        <v>51</v>
      </c>
      <c r="B6" t="s">
        <v>48</v>
      </c>
      <c r="C6" t="s">
        <v>19</v>
      </c>
      <c r="D6" t="s">
        <v>20</v>
      </c>
      <c r="E6" s="4">
        <v>999</v>
      </c>
      <c r="F6" s="5">
        <v>1.15</v>
      </c>
      <c r="G6" s="6">
        <f>F6/E6</f>
        <v>0.001151151151151151</v>
      </c>
      <c r="H6" s="13">
        <f>E6+F6</f>
        <v>1000.15</v>
      </c>
      <c r="I6" s="64">
        <f aca="true" t="shared" si="0" ref="I6:J8">$E6</f>
        <v>999</v>
      </c>
      <c r="J6" s="63">
        <f t="shared" si="0"/>
        <v>999</v>
      </c>
      <c r="L6" t="s">
        <v>74</v>
      </c>
      <c r="M6" s="70">
        <f>G6</f>
        <v>0.001151151151151151</v>
      </c>
      <c r="N6">
        <f>M6/100</f>
        <v>1.1511511511511511E-05</v>
      </c>
      <c r="O6">
        <f>N6*N6</f>
        <v>1.3251489727966203E-10</v>
      </c>
      <c r="P6">
        <f>SUM(O6:O8)</f>
        <v>3.4043982306129956E-09</v>
      </c>
      <c r="Q6">
        <f>SQRT(P6)</f>
        <v>5.834722127584994E-05</v>
      </c>
      <c r="R6">
        <f>Q6*E10</f>
        <v>5.828887405457409E-05</v>
      </c>
    </row>
    <row r="7" spans="1:15" ht="13.5" thickBot="1">
      <c r="A7" t="s">
        <v>51</v>
      </c>
      <c r="B7" t="s">
        <v>49</v>
      </c>
      <c r="C7" t="s">
        <v>16</v>
      </c>
      <c r="D7" s="3" t="s">
        <v>11</v>
      </c>
      <c r="E7" s="7">
        <v>1</v>
      </c>
      <c r="F7" s="2">
        <v>0.005697862172195229</v>
      </c>
      <c r="G7" s="8">
        <f>F7/E7</f>
        <v>0.005697862172195229</v>
      </c>
      <c r="H7" s="64">
        <f>$E7</f>
        <v>1</v>
      </c>
      <c r="I7" s="13">
        <f>E7+F7</f>
        <v>1.0056978621721953</v>
      </c>
      <c r="J7" s="63">
        <f t="shared" si="0"/>
        <v>1</v>
      </c>
      <c r="M7" s="70">
        <f>G7</f>
        <v>0.005697862172195229</v>
      </c>
      <c r="N7">
        <f>M7/100</f>
        <v>5.697862172195229E-05</v>
      </c>
      <c r="O7">
        <f>N7*N7</f>
        <v>3.2465633333333333E-09</v>
      </c>
    </row>
    <row r="8" spans="1:15" ht="13.5" thickBot="1">
      <c r="A8" t="s">
        <v>51</v>
      </c>
      <c r="B8" t="s">
        <v>50</v>
      </c>
      <c r="C8" t="s">
        <v>16</v>
      </c>
      <c r="D8" s="3" t="s">
        <v>6</v>
      </c>
      <c r="E8" s="9">
        <v>1000</v>
      </c>
      <c r="F8" s="10">
        <v>0.503189825016365</v>
      </c>
      <c r="G8" s="11">
        <f>F8/E8</f>
        <v>0.000503189825016365</v>
      </c>
      <c r="H8" s="64">
        <f>$E8</f>
        <v>1000</v>
      </c>
      <c r="I8" s="64">
        <f t="shared" si="0"/>
        <v>1000</v>
      </c>
      <c r="J8" s="13">
        <f>E8+F8</f>
        <v>1000.5031898250164</v>
      </c>
      <c r="M8" s="70">
        <f>G8</f>
        <v>0.000503189825016365</v>
      </c>
      <c r="N8">
        <f>M8/100</f>
        <v>5.03189825016365E-06</v>
      </c>
      <c r="O8">
        <f>N8*N8</f>
        <v>2.5320000000000006E-11</v>
      </c>
    </row>
    <row r="9" spans="6:13" ht="13.5" thickBot="1">
      <c r="F9" t="s">
        <v>39</v>
      </c>
      <c r="M9" s="70"/>
    </row>
    <row r="10" spans="2:13" ht="13.5" thickBot="1">
      <c r="B10" t="s">
        <v>22</v>
      </c>
      <c r="C10" t="s">
        <v>23</v>
      </c>
      <c r="D10" s="28" t="s">
        <v>24</v>
      </c>
      <c r="E10" s="37">
        <f>E6*E7/E8</f>
        <v>0.999</v>
      </c>
      <c r="F10" s="127">
        <f>SQRT(K12)</f>
        <v>0.005828865607591764</v>
      </c>
      <c r="G10" s="40">
        <f>F10/E10</f>
        <v>0.005834700307899664</v>
      </c>
      <c r="H10" s="37">
        <f>H6*H7/H8</f>
        <v>1.0001499999999999</v>
      </c>
      <c r="I10" s="37">
        <f>I6*I7/I8</f>
        <v>1.004692164310023</v>
      </c>
      <c r="J10" s="37">
        <f>J6*J7/J8</f>
        <v>0.9984975661843923</v>
      </c>
      <c r="M10" s="70"/>
    </row>
    <row r="11" spans="7:13" ht="13.5" thickBot="1">
      <c r="G11" s="12" t="s">
        <v>2</v>
      </c>
      <c r="H11" s="33">
        <f>$E$10-H10</f>
        <v>-0.0011499999999998733</v>
      </c>
      <c r="I11" s="33">
        <f>$E$10-I10</f>
        <v>-0.005692164310023062</v>
      </c>
      <c r="J11" s="34">
        <f>$E$10-J10</f>
        <v>0.0005024338156076613</v>
      </c>
      <c r="M11" s="70"/>
    </row>
    <row r="12" spans="7:11" ht="13.5" thickBot="1">
      <c r="G12" s="12" t="s">
        <v>3</v>
      </c>
      <c r="H12" s="35">
        <f>H11^2</f>
        <v>1.3224999999997087E-06</v>
      </c>
      <c r="I12" s="35">
        <f>I11^2</f>
        <v>3.240073453230033E-05</v>
      </c>
      <c r="J12" s="36">
        <f>J11^2</f>
        <v>2.524397390660734E-07</v>
      </c>
      <c r="K12" s="31">
        <f>SUM(H12:J12)</f>
        <v>3.397567427136611E-05</v>
      </c>
    </row>
    <row r="13" ht="13.5" thickBot="1">
      <c r="K13" s="32" t="s">
        <v>25</v>
      </c>
    </row>
    <row r="14" spans="8:10" ht="13.5" thickBot="1">
      <c r="H14" s="30" t="s">
        <v>21</v>
      </c>
      <c r="I14" s="30" t="s">
        <v>11</v>
      </c>
      <c r="J14" s="30" t="s">
        <v>6</v>
      </c>
    </row>
    <row r="15" spans="7:10" ht="13.5" thickBot="1">
      <c r="G15" s="12" t="s">
        <v>40</v>
      </c>
      <c r="H15" s="38">
        <f>H12/$K$12</f>
        <v>0.03892490813977106</v>
      </c>
      <c r="I15" s="38">
        <f>I12/$K$12</f>
        <v>0.9536450777551425</v>
      </c>
      <c r="J15" s="39">
        <f>J12/$K$12</f>
        <v>0.007430014105086462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r:id="rId5"/>
  <drawing r:id="rId4"/>
  <legacyDrawing r:id="rId3"/>
  <oleObjects>
    <oleObject progId="Equation.3" shapeId="613391" r:id="rId1"/>
    <oleObject progId="Equation.3" shapeId="636551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N23" sqref="N23"/>
    </sheetView>
  </sheetViews>
  <sheetFormatPr defaultColWidth="9.140625" defaultRowHeight="12.75"/>
  <cols>
    <col min="1" max="1" width="11.57421875" style="115" customWidth="1"/>
    <col min="2" max="3" width="10.421875" style="115" customWidth="1"/>
    <col min="4" max="16384" width="9.140625" style="115" customWidth="1"/>
  </cols>
  <sheetData>
    <row r="1" ht="12.75">
      <c r="A1" s="114" t="s">
        <v>132</v>
      </c>
    </row>
    <row r="3" ht="12.75">
      <c r="A3" s="115" t="s">
        <v>133</v>
      </c>
    </row>
    <row r="5" spans="1:7" ht="12.75">
      <c r="A5" s="114" t="s">
        <v>134</v>
      </c>
      <c r="B5" s="115" t="s">
        <v>135</v>
      </c>
      <c r="C5" s="115" t="s">
        <v>116</v>
      </c>
      <c r="D5" s="115" t="s">
        <v>136</v>
      </c>
      <c r="E5" s="115" t="s">
        <v>137</v>
      </c>
      <c r="G5" s="115" t="s">
        <v>138</v>
      </c>
    </row>
    <row r="6" spans="1:7" ht="12.75">
      <c r="A6" s="115" t="s">
        <v>139</v>
      </c>
      <c r="B6" s="115" t="s">
        <v>140</v>
      </c>
      <c r="C6" s="116" t="s">
        <v>147</v>
      </c>
      <c r="D6" s="117">
        <v>37</v>
      </c>
      <c r="E6" s="115">
        <v>0.82</v>
      </c>
      <c r="F6" s="115" t="s">
        <v>141</v>
      </c>
      <c r="G6" s="118">
        <f>E6/D6</f>
        <v>0.02216216216216216</v>
      </c>
    </row>
    <row r="8" ht="12.75">
      <c r="A8" s="115" t="s">
        <v>142</v>
      </c>
    </row>
    <row r="11" spans="2:4" ht="12.75">
      <c r="B11" s="115" t="s">
        <v>136</v>
      </c>
      <c r="C11" s="115" t="s">
        <v>137</v>
      </c>
      <c r="D11" s="115" t="s">
        <v>138</v>
      </c>
    </row>
    <row r="12" spans="1:4" ht="15.75">
      <c r="A12" s="115" t="s">
        <v>148</v>
      </c>
      <c r="B12" s="115">
        <v>35.78</v>
      </c>
      <c r="C12" s="115">
        <v>0.88</v>
      </c>
      <c r="D12" s="118">
        <f>C12/B12</f>
        <v>0.024594745667970933</v>
      </c>
    </row>
    <row r="14" ht="12.75">
      <c r="A14" s="115" t="s">
        <v>143</v>
      </c>
    </row>
    <row r="15" spans="3:4" ht="12.75">
      <c r="C15" s="115" t="s">
        <v>53</v>
      </c>
      <c r="D15" s="115" t="s">
        <v>138</v>
      </c>
    </row>
    <row r="16" spans="1:4" ht="12.75">
      <c r="A16" s="115" t="s">
        <v>125</v>
      </c>
      <c r="B16" s="117">
        <f>'[1]recovery'!$B$26</f>
        <v>0.9600357888458098</v>
      </c>
      <c r="C16" s="117">
        <f>'[1]recovery'!C26</f>
        <v>0.025388997081110365</v>
      </c>
      <c r="D16" s="118">
        <f>'[1]recovery'!D26</f>
        <v>0.026445886055595853</v>
      </c>
    </row>
    <row r="17" ht="12.75"/>
    <row r="18" spans="1:4" ht="15.75">
      <c r="A18" s="115" t="s">
        <v>149</v>
      </c>
      <c r="B18" s="117">
        <f>B12/B16</f>
        <v>37.269443926685305</v>
      </c>
      <c r="C18" s="117">
        <f>B18*D18</f>
        <v>1.3459824477530413</v>
      </c>
      <c r="D18" s="118">
        <f>SQRT(D12*D12+D16*D16)</f>
        <v>0.036114905561800026</v>
      </c>
    </row>
    <row r="21" ht="12.75">
      <c r="A21" s="115" t="s">
        <v>144</v>
      </c>
    </row>
    <row r="22" ht="12.75"/>
    <row r="23" spans="1:2" ht="12.75">
      <c r="A23" s="115" t="s">
        <v>145</v>
      </c>
      <c r="B23" s="117">
        <f>(B18-D6)/(SQRT(C18*C18+E6*E6))</f>
        <v>0.1709568839575667</v>
      </c>
    </row>
    <row r="24" ht="12.75">
      <c r="B24" s="115" t="s">
        <v>146</v>
      </c>
    </row>
    <row r="25" ht="12.75"/>
  </sheetData>
  <printOptions/>
  <pageMargins left="0.75" right="0.75" top="1" bottom="1" header="0.4921259845" footer="0.4921259845"/>
  <pageSetup horizontalDpi="600" verticalDpi="600" orientation="portrait" paperSize="9" r:id="rId4"/>
  <legacyDrawing r:id="rId3"/>
  <oleObjects>
    <oleObject progId="Equation.3" shapeId="514905" r:id="rId1"/>
    <oleObject progId="Equation.3" shapeId="542757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0" sqref="I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8" sqref="A18"/>
    </sheetView>
  </sheetViews>
  <sheetFormatPr defaultColWidth="9.140625" defaultRowHeight="12.75"/>
  <cols>
    <col min="6" max="6" width="10.140625" style="0" customWidth="1"/>
  </cols>
  <sheetData>
    <row r="1" spans="1:10" ht="18">
      <c r="A1" s="141" t="s">
        <v>150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3.5" thickBot="1"/>
    <row r="3" spans="6:7" ht="12.75">
      <c r="F3" s="41" t="s">
        <v>12</v>
      </c>
      <c r="G3" s="42">
        <v>3</v>
      </c>
    </row>
    <row r="4" spans="6:7" ht="13.5" thickBot="1">
      <c r="F4" s="43" t="s">
        <v>151</v>
      </c>
      <c r="G4" s="44">
        <v>0.00021</v>
      </c>
    </row>
    <row r="6" spans="2:11" ht="12.75">
      <c r="B6" s="45"/>
      <c r="C6" s="121" t="s">
        <v>0</v>
      </c>
      <c r="D6" s="121" t="s">
        <v>152</v>
      </c>
      <c r="E6" s="121" t="s">
        <v>155</v>
      </c>
      <c r="F6" s="121" t="s">
        <v>153</v>
      </c>
      <c r="G6" s="121" t="s">
        <v>154</v>
      </c>
      <c r="H6" s="121" t="s">
        <v>156</v>
      </c>
      <c r="I6" s="121" t="s">
        <v>15</v>
      </c>
      <c r="K6" t="s">
        <v>157</v>
      </c>
    </row>
    <row r="7" spans="2:11" ht="12.75">
      <c r="B7" s="121" t="s">
        <v>5</v>
      </c>
      <c r="C7" s="2">
        <v>50</v>
      </c>
      <c r="D7" s="2">
        <v>0.1</v>
      </c>
      <c r="E7" s="122">
        <f>D7/SQRT(3)</f>
        <v>0.05773502691896258</v>
      </c>
      <c r="F7" s="122">
        <v>0.03</v>
      </c>
      <c r="G7" s="119">
        <f>$G$3*$G$4*C7</f>
        <v>0.0315</v>
      </c>
      <c r="H7" s="123">
        <f>G7/SQRT(3)</f>
        <v>0.018186533479473212</v>
      </c>
      <c r="I7" s="120">
        <f aca="true" t="shared" si="0" ref="I7:I13">SQRT(D7^2/3+F7^2+G7^2/3)</f>
        <v>0.06755799977303453</v>
      </c>
      <c r="K7">
        <f>SQRT(E7^2+F7^2+H7^2)</f>
        <v>0.06755799977303453</v>
      </c>
    </row>
    <row r="8" spans="2:11" ht="12.75">
      <c r="B8" s="121" t="s">
        <v>6</v>
      </c>
      <c r="C8" s="2">
        <v>1000</v>
      </c>
      <c r="D8" s="2">
        <v>0.6</v>
      </c>
      <c r="E8" s="122">
        <f aca="true" t="shared" si="1" ref="E8:E13">D8/SQRT(3)</f>
        <v>0.34641016151377546</v>
      </c>
      <c r="F8" s="122">
        <v>0.03</v>
      </c>
      <c r="G8" s="119">
        <f aca="true" t="shared" si="2" ref="G8:G13">$G$3*$G$4*C8</f>
        <v>0.63</v>
      </c>
      <c r="H8" s="123">
        <f aca="true" t="shared" si="3" ref="H8:H13">G8/SQRT(3)</f>
        <v>0.36373066958946426</v>
      </c>
      <c r="I8" s="120">
        <f t="shared" si="0"/>
        <v>0.503189825016365</v>
      </c>
      <c r="K8">
        <f aca="true" t="shared" si="4" ref="K8:K13">SQRT(E8^2+F8^2+H8^2)</f>
        <v>0.503189825016365</v>
      </c>
    </row>
    <row r="9" spans="2:11" ht="12.75">
      <c r="B9" s="121" t="s">
        <v>11</v>
      </c>
      <c r="C9" s="2">
        <v>1</v>
      </c>
      <c r="D9" s="2">
        <v>0.007</v>
      </c>
      <c r="E9" s="122">
        <f t="shared" si="1"/>
        <v>0.004041451884327381</v>
      </c>
      <c r="F9" s="122">
        <v>0.004</v>
      </c>
      <c r="G9" s="119">
        <f t="shared" si="2"/>
        <v>0.00063</v>
      </c>
      <c r="H9" s="123">
        <f t="shared" si="3"/>
        <v>0.00036373066958946427</v>
      </c>
      <c r="I9" s="120">
        <f t="shared" si="0"/>
        <v>0.005697862172195229</v>
      </c>
      <c r="K9">
        <f t="shared" si="4"/>
        <v>0.005697862172195229</v>
      </c>
    </row>
    <row r="10" spans="2:11" ht="12.75">
      <c r="B10" s="121" t="s">
        <v>7</v>
      </c>
      <c r="C10" s="2">
        <v>2.5</v>
      </c>
      <c r="D10" s="2">
        <v>0.015</v>
      </c>
      <c r="E10" s="122">
        <f t="shared" si="1"/>
        <v>0.008660254037844387</v>
      </c>
      <c r="F10" s="122">
        <v>0.01</v>
      </c>
      <c r="G10" s="119">
        <f t="shared" si="2"/>
        <v>0.001575</v>
      </c>
      <c r="H10" s="123">
        <f t="shared" si="3"/>
        <v>0.0009093266739736606</v>
      </c>
      <c r="I10" s="120">
        <f t="shared" si="0"/>
        <v>0.013259972662113598</v>
      </c>
      <c r="K10">
        <f t="shared" si="4"/>
        <v>0.0132599726621136</v>
      </c>
    </row>
    <row r="11" spans="2:11" ht="12.75">
      <c r="B11" s="121" t="s">
        <v>8</v>
      </c>
      <c r="C11" s="2">
        <v>5</v>
      </c>
      <c r="D11" s="2">
        <v>0.04</v>
      </c>
      <c r="E11" s="122">
        <f t="shared" si="1"/>
        <v>0.023094010767585032</v>
      </c>
      <c r="F11" s="122">
        <v>0.02</v>
      </c>
      <c r="G11" s="119">
        <f t="shared" si="2"/>
        <v>0.00315</v>
      </c>
      <c r="H11" s="123">
        <f t="shared" si="3"/>
        <v>0.0018186533479473213</v>
      </c>
      <c r="I11" s="120">
        <f t="shared" si="0"/>
        <v>0.030604588435940997</v>
      </c>
      <c r="K11">
        <f t="shared" si="4"/>
        <v>0.030604588435940997</v>
      </c>
    </row>
    <row r="12" spans="2:11" ht="12.75">
      <c r="B12" s="121" t="s">
        <v>9</v>
      </c>
      <c r="C12" s="2">
        <v>7.5</v>
      </c>
      <c r="D12" s="2">
        <v>0.06</v>
      </c>
      <c r="E12" s="122">
        <f t="shared" si="1"/>
        <v>0.034641016151377546</v>
      </c>
      <c r="F12" s="122">
        <v>0.03</v>
      </c>
      <c r="G12" s="119">
        <f t="shared" si="2"/>
        <v>0.004725</v>
      </c>
      <c r="H12" s="123">
        <f t="shared" si="3"/>
        <v>0.002727980021920982</v>
      </c>
      <c r="I12" s="120">
        <f t="shared" si="0"/>
        <v>0.04590688265391149</v>
      </c>
      <c r="K12">
        <f t="shared" si="4"/>
        <v>0.0459068826539115</v>
      </c>
    </row>
    <row r="13" spans="2:11" ht="12.75">
      <c r="B13" s="121" t="s">
        <v>10</v>
      </c>
      <c r="C13" s="2">
        <v>10</v>
      </c>
      <c r="D13" s="2">
        <v>0.075</v>
      </c>
      <c r="E13" s="122">
        <f t="shared" si="1"/>
        <v>0.04330127018922193</v>
      </c>
      <c r="F13" s="122">
        <v>0.04</v>
      </c>
      <c r="G13" s="119">
        <f t="shared" si="2"/>
        <v>0.0063</v>
      </c>
      <c r="H13" s="123">
        <f t="shared" si="3"/>
        <v>0.0036373066958946426</v>
      </c>
      <c r="I13" s="120">
        <f t="shared" si="0"/>
        <v>0.05906123940453671</v>
      </c>
      <c r="K13">
        <f t="shared" si="4"/>
        <v>0.05906123940453671</v>
      </c>
    </row>
    <row r="14" spans="2:9" ht="12.75">
      <c r="B14" s="121" t="s">
        <v>13</v>
      </c>
      <c r="C14" s="45" t="s">
        <v>14</v>
      </c>
      <c r="D14" s="45" t="s">
        <v>4</v>
      </c>
      <c r="E14" s="45"/>
      <c r="F14" s="45" t="s">
        <v>4</v>
      </c>
      <c r="G14" s="45" t="s">
        <v>4</v>
      </c>
      <c r="H14" s="45"/>
      <c r="I14" s="2" t="s">
        <v>16</v>
      </c>
    </row>
    <row r="15" ht="12.75">
      <c r="B15" t="s">
        <v>17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3"/>
  <legacyDrawing r:id="rId2"/>
  <oleObjects>
    <oleObject progId="Equation.3" shapeId="5688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F18:M25"/>
  <sheetViews>
    <sheetView zoomScale="75" zoomScaleNormal="75" workbookViewId="0" topLeftCell="A1">
      <selection activeCell="A11" sqref="A11"/>
    </sheetView>
  </sheetViews>
  <sheetFormatPr defaultColWidth="9.140625" defaultRowHeight="12.75"/>
  <sheetData>
    <row r="18" spans="6:13" ht="12.75">
      <c r="F18" s="125"/>
      <c r="G18" s="86"/>
      <c r="H18" s="86"/>
      <c r="I18" s="86"/>
      <c r="J18" s="86"/>
      <c r="K18" s="86"/>
      <c r="L18" s="86"/>
      <c r="M18" s="86"/>
    </row>
    <row r="19" spans="6:13" ht="12.75">
      <c r="F19" s="86"/>
      <c r="G19" s="125"/>
      <c r="H19" s="86"/>
      <c r="I19" s="86"/>
      <c r="J19" s="86"/>
      <c r="K19" s="86"/>
      <c r="L19" s="86"/>
      <c r="M19" s="86"/>
    </row>
    <row r="20" spans="6:13" ht="12.75">
      <c r="F20" s="86"/>
      <c r="G20" s="86"/>
      <c r="H20" s="125"/>
      <c r="I20" s="86"/>
      <c r="J20" s="86"/>
      <c r="K20" s="86"/>
      <c r="L20" s="86"/>
      <c r="M20" s="86"/>
    </row>
    <row r="21" spans="6:13" ht="12.75">
      <c r="F21" s="86"/>
      <c r="G21" s="86"/>
      <c r="H21" s="86"/>
      <c r="I21" s="125"/>
      <c r="J21" s="86"/>
      <c r="K21" s="86"/>
      <c r="L21" s="86"/>
      <c r="M21" s="86"/>
    </row>
    <row r="22" spans="6:13" ht="12.75">
      <c r="F22" s="86"/>
      <c r="G22" s="86"/>
      <c r="H22" s="86"/>
      <c r="I22" s="86"/>
      <c r="J22" s="125"/>
      <c r="K22" s="126"/>
      <c r="L22" s="126"/>
      <c r="M22" s="126"/>
    </row>
    <row r="23" spans="6:13" ht="12.75">
      <c r="F23" s="86"/>
      <c r="G23" s="86"/>
      <c r="H23" s="86"/>
      <c r="I23" s="86"/>
      <c r="J23" s="86"/>
      <c r="K23" s="125"/>
      <c r="L23" s="86"/>
      <c r="M23" s="126"/>
    </row>
    <row r="24" spans="6:13" ht="12.75">
      <c r="F24" s="86"/>
      <c r="G24" s="86"/>
      <c r="H24" s="86"/>
      <c r="I24" s="86"/>
      <c r="J24" s="86"/>
      <c r="K24" s="86"/>
      <c r="L24" s="125"/>
      <c r="M24" s="126"/>
    </row>
    <row r="25" spans="6:13" ht="12.75">
      <c r="F25" s="86"/>
      <c r="G25" s="86"/>
      <c r="H25" s="86"/>
      <c r="I25" s="86"/>
      <c r="J25" s="86"/>
      <c r="K25" s="86"/>
      <c r="L25" s="86"/>
      <c r="M25" s="125"/>
    </row>
  </sheetData>
  <printOptions/>
  <pageMargins left="0.75" right="0.75" top="1" bottom="0.6" header="0.5" footer="0.5"/>
  <pageSetup horizontalDpi="600" verticalDpi="600" orientation="landscape" paperSize="9" r:id="rId4"/>
  <drawing r:id="rId3"/>
  <legacyDrawing r:id="rId2"/>
  <oleObjects>
    <oleObject progId="Equation.3" shapeId="78386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50" zoomScaleNormal="50" workbookViewId="0" topLeftCell="A1">
      <selection activeCell="A1" sqref="A1:P42"/>
    </sheetView>
  </sheetViews>
  <sheetFormatPr defaultColWidth="9.140625" defaultRowHeight="12.75"/>
  <cols>
    <col min="1" max="1" width="5.140625" style="0" customWidth="1"/>
    <col min="3" max="3" width="8.8515625" style="0" customWidth="1"/>
    <col min="4" max="5" width="9.421875" style="0" bestFit="1" customWidth="1"/>
    <col min="6" max="6" width="12.57421875" style="0" bestFit="1" customWidth="1"/>
    <col min="7" max="10" width="9.421875" style="0" bestFit="1" customWidth="1"/>
    <col min="11" max="11" width="14.00390625" style="0" bestFit="1" customWidth="1"/>
  </cols>
  <sheetData>
    <row r="1" spans="1:11" ht="50.25" customHeight="1">
      <c r="A1" s="141" t="s">
        <v>41</v>
      </c>
      <c r="B1" s="142"/>
      <c r="C1" s="142"/>
      <c r="D1" s="142"/>
      <c r="E1" s="142"/>
      <c r="F1" s="142"/>
      <c r="G1" s="142"/>
      <c r="H1" s="142"/>
      <c r="I1" s="142"/>
      <c r="J1" s="142"/>
      <c r="K1" s="84"/>
    </row>
    <row r="2" spans="1:13" ht="18.75" thickBot="1">
      <c r="A2" s="17"/>
      <c r="B2" s="51" t="s">
        <v>47</v>
      </c>
      <c r="C2" s="15"/>
      <c r="D2" s="15"/>
      <c r="E2" s="15"/>
      <c r="F2" s="15"/>
      <c r="G2" s="15"/>
      <c r="H2" s="15"/>
      <c r="I2" s="15"/>
      <c r="J2" s="15"/>
      <c r="K2" s="16"/>
      <c r="M2" t="s">
        <v>110</v>
      </c>
    </row>
    <row r="3" spans="1:11" ht="15">
      <c r="A3" s="54" t="s">
        <v>42</v>
      </c>
      <c r="B3" s="55" t="s">
        <v>26</v>
      </c>
      <c r="C3" s="55" t="s">
        <v>32</v>
      </c>
      <c r="D3" s="55" t="s">
        <v>33</v>
      </c>
      <c r="E3" s="55" t="s">
        <v>35</v>
      </c>
      <c r="F3" s="56" t="s">
        <v>27</v>
      </c>
      <c r="G3" s="57" t="s">
        <v>28</v>
      </c>
      <c r="H3" s="57" t="s">
        <v>29</v>
      </c>
      <c r="I3" s="57" t="s">
        <v>30</v>
      </c>
      <c r="J3" s="58" t="s">
        <v>31</v>
      </c>
      <c r="K3" s="16"/>
    </row>
    <row r="4" spans="1:11" ht="15">
      <c r="A4" s="53" t="s">
        <v>43</v>
      </c>
      <c r="B4" s="133" t="s">
        <v>27</v>
      </c>
      <c r="C4" s="15">
        <v>0.406</v>
      </c>
      <c r="D4" s="22">
        <v>0.01716</v>
      </c>
      <c r="E4" s="24">
        <f>D4/C4</f>
        <v>0.04226600985221675</v>
      </c>
      <c r="F4" s="14">
        <f>$C4+D4</f>
        <v>0.42316000000000004</v>
      </c>
      <c r="G4" s="15">
        <f aca="true" t="shared" si="0" ref="G4:J8">$C4</f>
        <v>0.406</v>
      </c>
      <c r="H4" s="15">
        <f t="shared" si="0"/>
        <v>0.406</v>
      </c>
      <c r="I4" s="15">
        <f t="shared" si="0"/>
        <v>0.406</v>
      </c>
      <c r="J4" s="16">
        <f t="shared" si="0"/>
        <v>0.406</v>
      </c>
      <c r="K4" s="16"/>
    </row>
    <row r="5" spans="1:11" ht="15">
      <c r="A5" s="53" t="s">
        <v>43</v>
      </c>
      <c r="B5" s="130" t="s">
        <v>28</v>
      </c>
      <c r="C5" s="15">
        <v>0.593</v>
      </c>
      <c r="D5" s="22">
        <v>0.016216</v>
      </c>
      <c r="E5" s="24">
        <f aca="true" t="shared" si="1" ref="E5:E10">D5/C5</f>
        <v>0.02734569983136594</v>
      </c>
      <c r="F5" s="17">
        <f>$C5</f>
        <v>0.593</v>
      </c>
      <c r="G5" s="18">
        <f>$C5+D5</f>
        <v>0.609216</v>
      </c>
      <c r="H5" s="15">
        <f t="shared" si="0"/>
        <v>0.593</v>
      </c>
      <c r="I5" s="15">
        <f t="shared" si="0"/>
        <v>0.593</v>
      </c>
      <c r="J5" s="16">
        <f t="shared" si="0"/>
        <v>0.593</v>
      </c>
      <c r="K5" s="16"/>
    </row>
    <row r="6" spans="1:11" ht="15">
      <c r="A6" s="53" t="s">
        <v>43</v>
      </c>
      <c r="B6" s="128" t="s">
        <v>29</v>
      </c>
      <c r="C6" s="15">
        <v>0.468</v>
      </c>
      <c r="D6" s="26">
        <f>0.02824</f>
        <v>0.02824</v>
      </c>
      <c r="E6" s="24">
        <f t="shared" si="1"/>
        <v>0.060341880341880344</v>
      </c>
      <c r="F6" s="17">
        <f>$C6</f>
        <v>0.468</v>
      </c>
      <c r="G6" s="15">
        <f t="shared" si="0"/>
        <v>0.468</v>
      </c>
      <c r="H6" s="18">
        <f>$C6+D6</f>
        <v>0.49624</v>
      </c>
      <c r="I6" s="15">
        <f t="shared" si="0"/>
        <v>0.468</v>
      </c>
      <c r="J6" s="16">
        <f t="shared" si="0"/>
        <v>0.468</v>
      </c>
      <c r="K6" s="16"/>
    </row>
    <row r="7" spans="1:15" ht="15">
      <c r="A7" s="53" t="s">
        <v>44</v>
      </c>
      <c r="B7" s="55" t="s">
        <v>30</v>
      </c>
      <c r="C7" s="15">
        <v>1</v>
      </c>
      <c r="D7" s="22">
        <v>0.0058</v>
      </c>
      <c r="E7" s="24">
        <f t="shared" si="1"/>
        <v>0.0058</v>
      </c>
      <c r="F7" s="17">
        <f>$C7</f>
        <v>1</v>
      </c>
      <c r="G7" s="15">
        <f t="shared" si="0"/>
        <v>1</v>
      </c>
      <c r="H7" s="15">
        <f t="shared" si="0"/>
        <v>1</v>
      </c>
      <c r="I7" s="18">
        <f>$C7+D7</f>
        <v>1.0058</v>
      </c>
      <c r="J7" s="16">
        <f t="shared" si="0"/>
        <v>1</v>
      </c>
      <c r="K7" s="16"/>
      <c r="M7" s="71" t="s">
        <v>30</v>
      </c>
      <c r="N7" s="71" t="s">
        <v>34</v>
      </c>
      <c r="O7" s="71" t="s">
        <v>31</v>
      </c>
    </row>
    <row r="8" spans="1:15" ht="15.75" thickBot="1">
      <c r="A8" s="53" t="s">
        <v>44</v>
      </c>
      <c r="B8" s="55" t="s">
        <v>31</v>
      </c>
      <c r="C8" s="15">
        <v>1.5</v>
      </c>
      <c r="D8" s="22">
        <v>0.0083</v>
      </c>
      <c r="E8" s="24">
        <f t="shared" si="1"/>
        <v>0.005533333333333334</v>
      </c>
      <c r="F8" s="19">
        <f>$C8</f>
        <v>1.5</v>
      </c>
      <c r="G8" s="20">
        <f t="shared" si="0"/>
        <v>1.5</v>
      </c>
      <c r="H8" s="20">
        <f t="shared" si="0"/>
        <v>1.5</v>
      </c>
      <c r="I8" s="20">
        <f t="shared" si="0"/>
        <v>1.5</v>
      </c>
      <c r="J8" s="21">
        <f>$C8+D8</f>
        <v>1.5083</v>
      </c>
      <c r="K8" s="16"/>
      <c r="M8" s="71" t="s">
        <v>27</v>
      </c>
      <c r="N8" s="71" t="s">
        <v>29</v>
      </c>
      <c r="O8" s="71" t="s">
        <v>28</v>
      </c>
    </row>
    <row r="9" spans="1:11" ht="13.5" thickBot="1">
      <c r="A9" s="17"/>
      <c r="B9" s="52"/>
      <c r="C9" s="15"/>
      <c r="D9" s="59" t="s">
        <v>36</v>
      </c>
      <c r="E9" s="27" t="s">
        <v>38</v>
      </c>
      <c r="F9" s="15"/>
      <c r="G9" s="15"/>
      <c r="H9" s="15"/>
      <c r="I9" s="15"/>
      <c r="J9" s="15"/>
      <c r="K9" s="16"/>
    </row>
    <row r="10" spans="1:11" ht="16.5" thickBot="1">
      <c r="A10" s="17"/>
      <c r="B10" s="135" t="s">
        <v>159</v>
      </c>
      <c r="C10" s="136">
        <f>(C7*(C5-C6)+C8*(C6-C4))/(C5-C4)</f>
        <v>1.1657754010695187</v>
      </c>
      <c r="D10" s="134">
        <f>SQRT(K12)</f>
        <v>0.08390105485847967</v>
      </c>
      <c r="E10" s="50">
        <f t="shared" si="1"/>
        <v>0.07197017091071421</v>
      </c>
      <c r="F10" s="22">
        <f>(F7*(F5-F6)+F8*(F6-F4))/(F5-F4)</f>
        <v>1.1320065944418276</v>
      </c>
      <c r="G10" s="15">
        <f>(G7*(G5-G6)+G8*(G6-G4))/(G5-G4)</f>
        <v>1.1525470435398788</v>
      </c>
      <c r="H10" s="15">
        <f>(H7*(H5-H6)+H8*(H6-H4))/(H5-H4)</f>
        <v>1.241283422459893</v>
      </c>
      <c r="I10" s="15">
        <f>(I7*(I5-I6)+I8*(I6-I4))/(I5-I4)</f>
        <v>1.1696524064171123</v>
      </c>
      <c r="J10" s="15">
        <f>(J7*(J5-J6)+J8*(J6-J4))/(J5-J4)</f>
        <v>1.1685272727272729</v>
      </c>
      <c r="K10" s="16"/>
    </row>
    <row r="11" spans="1:11" ht="16.5" thickBot="1">
      <c r="A11" s="17"/>
      <c r="B11" s="137" t="s">
        <v>46</v>
      </c>
      <c r="C11" s="138">
        <f>D10*2</f>
        <v>0.16780210971695933</v>
      </c>
      <c r="D11" s="15"/>
      <c r="E11" s="15" t="s">
        <v>2</v>
      </c>
      <c r="F11" s="22">
        <f>$C$10-F10</f>
        <v>0.033768806627691106</v>
      </c>
      <c r="G11" s="15">
        <f>$C$10-G10</f>
        <v>0.013228357529639911</v>
      </c>
      <c r="H11" s="15">
        <f>$C$10-H10</f>
        <v>-0.07550802139037427</v>
      </c>
      <c r="I11" s="15">
        <f>$C$10-I10</f>
        <v>-0.0038770053475936095</v>
      </c>
      <c r="J11" s="15">
        <f>$C$10-J10</f>
        <v>-0.0027518716577541458</v>
      </c>
      <c r="K11" s="16"/>
    </row>
    <row r="12" spans="1:11" ht="13.5" thickBot="1">
      <c r="A12" s="17"/>
      <c r="B12" s="15" t="s">
        <v>45</v>
      </c>
      <c r="C12" s="85">
        <f>C7+((C8-C7)*(C6-C4))/(C5-C4)</f>
        <v>1.1657754010695187</v>
      </c>
      <c r="D12" s="15"/>
      <c r="E12" s="15" t="s">
        <v>3</v>
      </c>
      <c r="F12" s="15">
        <f>F11^2</f>
        <v>0.0011403323010583948</v>
      </c>
      <c r="G12" s="15">
        <f>G11^2</f>
        <v>0.00017498944293198093</v>
      </c>
      <c r="H12" s="15">
        <f>H11^2</f>
        <v>0.0057014612942892185</v>
      </c>
      <c r="I12" s="15">
        <f>I11^2</f>
        <v>1.5031170465269446E-05</v>
      </c>
      <c r="J12" s="15">
        <f>J11^2</f>
        <v>7.572797620750551E-06</v>
      </c>
      <c r="K12" s="25">
        <f>SUM(F12:J12)</f>
        <v>0.007039387006365614</v>
      </c>
    </row>
    <row r="13" spans="1:11" ht="13.5" thickBot="1">
      <c r="A13" s="17"/>
      <c r="B13" s="15"/>
      <c r="C13" s="15"/>
      <c r="D13" s="15"/>
      <c r="E13" s="15"/>
      <c r="F13" s="132" t="s">
        <v>27</v>
      </c>
      <c r="G13" s="131" t="s">
        <v>28</v>
      </c>
      <c r="H13" s="129" t="s">
        <v>29</v>
      </c>
      <c r="I13" s="60" t="s">
        <v>30</v>
      </c>
      <c r="J13" s="61" t="s">
        <v>31</v>
      </c>
      <c r="K13" s="46" t="s">
        <v>25</v>
      </c>
    </row>
    <row r="14" spans="1:14" ht="13.5" thickBot="1">
      <c r="A14" s="17"/>
      <c r="B14" s="15"/>
      <c r="C14" s="15"/>
      <c r="D14" s="15"/>
      <c r="E14" s="15" t="s">
        <v>37</v>
      </c>
      <c r="F14" s="47">
        <f>F12/$K$12</f>
        <v>0.16199312525752727</v>
      </c>
      <c r="G14" s="48">
        <f>G12/$K$12</f>
        <v>0.02485861947549418</v>
      </c>
      <c r="H14" s="48">
        <f>H12/$K$12</f>
        <v>0.8099371847482559</v>
      </c>
      <c r="I14" s="48">
        <f>I12/$K$12</f>
        <v>0.0021352953675763215</v>
      </c>
      <c r="J14" s="49">
        <f>J12/$K$12</f>
        <v>0.00107577515114634</v>
      </c>
      <c r="K14" s="16"/>
      <c r="M14">
        <v>0</v>
      </c>
      <c r="N14">
        <v>0</v>
      </c>
    </row>
    <row r="15" spans="1:14" ht="13.5" thickBo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3"/>
      <c r="M15" s="15">
        <v>1</v>
      </c>
      <c r="N15" s="15">
        <v>0.406</v>
      </c>
    </row>
    <row r="16" spans="13:14" ht="12.75">
      <c r="M16" s="15">
        <v>1.5</v>
      </c>
      <c r="N16" s="15">
        <v>0.593</v>
      </c>
    </row>
    <row r="30" ht="18">
      <c r="L30" s="51"/>
    </row>
  </sheetData>
  <mergeCells count="1">
    <mergeCell ref="A1:J1"/>
  </mergeCells>
  <printOptions/>
  <pageMargins left="0.75" right="0.75" top="0.66" bottom="0.54" header="0.5" footer="0.5"/>
  <pageSetup fitToHeight="1" fitToWidth="1" horizontalDpi="180" verticalDpi="180" orientation="landscape" paperSize="9" scale="85" r:id="rId7"/>
  <drawing r:id="rId6"/>
  <legacyDrawing r:id="rId5"/>
  <oleObjects>
    <oleObject progId="Equation.3" shapeId="42941394" r:id="rId2"/>
    <oleObject progId="Equation.3" shapeId="200844" r:id="rId3"/>
    <oleObject progId="Equation.3" shapeId="206763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G18" sqref="G18"/>
    </sheetView>
  </sheetViews>
  <sheetFormatPr defaultColWidth="9.140625" defaultRowHeight="12.75"/>
  <sheetData>
    <row r="1" spans="1:4" ht="34.5" customHeight="1">
      <c r="A1" s="141" t="s">
        <v>111</v>
      </c>
      <c r="B1" s="142"/>
      <c r="C1" s="142"/>
      <c r="D1" s="142"/>
    </row>
    <row r="3" spans="1:2" ht="12.75">
      <c r="A3">
        <v>1</v>
      </c>
      <c r="B3" s="83">
        <v>97.76</v>
      </c>
    </row>
    <row r="4" spans="1:2" ht="12.75">
      <c r="A4">
        <v>2</v>
      </c>
      <c r="B4" s="83">
        <v>97.9</v>
      </c>
    </row>
    <row r="5" spans="1:2" ht="12.75">
      <c r="A5">
        <v>3</v>
      </c>
      <c r="B5" s="83">
        <v>98.2</v>
      </c>
    </row>
    <row r="6" spans="1:2" ht="12.75">
      <c r="A6">
        <v>4</v>
      </c>
      <c r="B6" s="83">
        <v>97.98</v>
      </c>
    </row>
    <row r="7" spans="1:2" ht="12.75">
      <c r="A7">
        <v>5</v>
      </c>
      <c r="B7" s="83">
        <v>98.4</v>
      </c>
    </row>
    <row r="8" spans="1:2" ht="12.75">
      <c r="A8">
        <v>6</v>
      </c>
      <c r="B8" s="83">
        <v>98</v>
      </c>
    </row>
    <row r="9" spans="1:2" ht="12.75">
      <c r="A9">
        <v>7</v>
      </c>
      <c r="B9" s="83">
        <v>97.5</v>
      </c>
    </row>
    <row r="10" spans="1:2" ht="12.75">
      <c r="A10">
        <v>8</v>
      </c>
      <c r="B10" s="83">
        <v>98.3</v>
      </c>
    </row>
    <row r="11" spans="1:2" ht="12.75">
      <c r="A11">
        <v>9</v>
      </c>
      <c r="B11" s="83">
        <v>98.1</v>
      </c>
    </row>
    <row r="12" spans="1:2" ht="12.75">
      <c r="A12">
        <v>10</v>
      </c>
      <c r="B12" s="83">
        <v>98.5</v>
      </c>
    </row>
    <row r="13" spans="1:2" ht="12.75">
      <c r="A13">
        <v>11</v>
      </c>
      <c r="B13" s="83">
        <v>98</v>
      </c>
    </row>
    <row r="14" spans="1:2" ht="12.75">
      <c r="A14" s="62" t="s">
        <v>54</v>
      </c>
      <c r="B14" s="65">
        <f>STDEV(B3:B13)</f>
        <v>0.2882297063783931</v>
      </c>
    </row>
    <row r="15" spans="1:2" ht="12.75">
      <c r="A15" t="s">
        <v>55</v>
      </c>
      <c r="B15">
        <f>AVERAGE(B3:B13)</f>
        <v>98.05818181818181</v>
      </c>
    </row>
    <row r="16" spans="1:2" ht="12.75">
      <c r="A16" t="s">
        <v>56</v>
      </c>
      <c r="B16">
        <f>B14/B15*100</f>
        <v>0.2939374369726994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5"/>
  <sheetViews>
    <sheetView workbookViewId="0" topLeftCell="A1">
      <selection activeCell="J22" sqref="J22"/>
    </sheetView>
  </sheetViews>
  <sheetFormatPr defaultColWidth="9.140625" defaultRowHeight="12.75"/>
  <cols>
    <col min="6" max="6" width="11.421875" style="0" bestFit="1" customWidth="1"/>
    <col min="12" max="12" width="12.421875" style="0" bestFit="1" customWidth="1"/>
    <col min="17" max="17" width="11.00390625" style="0" bestFit="1" customWidth="1"/>
    <col min="18" max="18" width="11.421875" style="0" bestFit="1" customWidth="1"/>
  </cols>
  <sheetData>
    <row r="2" spans="3:20" ht="12.75">
      <c r="C2" s="2" t="s">
        <v>63</v>
      </c>
      <c r="D2" s="2" t="s">
        <v>64</v>
      </c>
      <c r="E2" s="2" t="s">
        <v>65</v>
      </c>
      <c r="O2" s="2" t="s">
        <v>65</v>
      </c>
      <c r="P2" t="s">
        <v>56</v>
      </c>
      <c r="Q2" t="s">
        <v>75</v>
      </c>
      <c r="R2" t="s">
        <v>76</v>
      </c>
      <c r="S2" t="s">
        <v>77</v>
      </c>
      <c r="T2" t="s">
        <v>78</v>
      </c>
    </row>
    <row r="3" spans="2:20" ht="12.75">
      <c r="B3" t="s">
        <v>57</v>
      </c>
      <c r="C3" s="2">
        <v>1.1</v>
      </c>
      <c r="D3" s="2">
        <f aca="true" t="shared" si="0" ref="D3:D8">(E3*C3)/100</f>
        <v>0.00044000000000000007</v>
      </c>
      <c r="E3" s="2">
        <v>0.04</v>
      </c>
      <c r="F3" s="66">
        <f>C3+D3</f>
        <v>1.10044</v>
      </c>
      <c r="G3">
        <f aca="true" t="shared" si="1" ref="G3:K8">$C3</f>
        <v>1.1</v>
      </c>
      <c r="H3">
        <f t="shared" si="1"/>
        <v>1.1</v>
      </c>
      <c r="I3">
        <f t="shared" si="1"/>
        <v>1.1</v>
      </c>
      <c r="J3">
        <f t="shared" si="1"/>
        <v>1.1</v>
      </c>
      <c r="K3">
        <f t="shared" si="1"/>
        <v>1.1</v>
      </c>
      <c r="N3" t="s">
        <v>74</v>
      </c>
      <c r="O3">
        <f aca="true" t="shared" si="2" ref="O3:O8">E3</f>
        <v>0.04</v>
      </c>
      <c r="P3">
        <f aca="true" t="shared" si="3" ref="P3:P8">O3/100</f>
        <v>0.0004</v>
      </c>
      <c r="Q3">
        <f aca="true" t="shared" si="4" ref="Q3:Q8">P3*P3</f>
        <v>1.6E-07</v>
      </c>
      <c r="R3">
        <f>SUM(Q3:Q8)</f>
        <v>6.0125000000000005E-06</v>
      </c>
      <c r="S3">
        <f>SQRT(R3)</f>
        <v>0.002452039967047846</v>
      </c>
      <c r="T3">
        <f>S3*C11</f>
        <v>0.000997493279190818</v>
      </c>
    </row>
    <row r="4" spans="2:17" ht="12.75">
      <c r="B4" t="s">
        <v>58</v>
      </c>
      <c r="C4" s="2">
        <v>0.065</v>
      </c>
      <c r="D4" s="2">
        <f t="shared" si="0"/>
        <v>1.95E-05</v>
      </c>
      <c r="E4" s="2">
        <v>0.03</v>
      </c>
      <c r="F4">
        <f>$C4</f>
        <v>0.065</v>
      </c>
      <c r="G4" s="66">
        <f>C4+D4</f>
        <v>0.06501950000000001</v>
      </c>
      <c r="H4">
        <f t="shared" si="1"/>
        <v>0.065</v>
      </c>
      <c r="I4">
        <f t="shared" si="1"/>
        <v>0.065</v>
      </c>
      <c r="J4">
        <f t="shared" si="1"/>
        <v>0.065</v>
      </c>
      <c r="K4">
        <f t="shared" si="1"/>
        <v>0.065</v>
      </c>
      <c r="O4">
        <f t="shared" si="2"/>
        <v>0.03</v>
      </c>
      <c r="P4">
        <f t="shared" si="3"/>
        <v>0.0003</v>
      </c>
      <c r="Q4">
        <f t="shared" si="4"/>
        <v>8.999999999999999E-08</v>
      </c>
    </row>
    <row r="5" spans="2:17" ht="12.75">
      <c r="B5" t="s">
        <v>59</v>
      </c>
      <c r="C5" s="2">
        <v>99</v>
      </c>
      <c r="D5" s="2">
        <f t="shared" si="0"/>
        <v>0.12375</v>
      </c>
      <c r="E5" s="2">
        <v>0.125</v>
      </c>
      <c r="F5">
        <f>$C5</f>
        <v>99</v>
      </c>
      <c r="G5">
        <f t="shared" si="1"/>
        <v>99</v>
      </c>
      <c r="H5" s="66">
        <f>C5+D5</f>
        <v>99.12375</v>
      </c>
      <c r="I5">
        <f t="shared" si="1"/>
        <v>99</v>
      </c>
      <c r="J5">
        <f t="shared" si="1"/>
        <v>99</v>
      </c>
      <c r="K5">
        <f t="shared" si="1"/>
        <v>99</v>
      </c>
      <c r="O5">
        <f t="shared" si="2"/>
        <v>0.125</v>
      </c>
      <c r="P5">
        <f t="shared" si="3"/>
        <v>0.00125</v>
      </c>
      <c r="Q5">
        <f t="shared" si="4"/>
        <v>1.5625E-06</v>
      </c>
    </row>
    <row r="6" spans="2:17" ht="12.75">
      <c r="B6" t="s">
        <v>60</v>
      </c>
      <c r="C6" s="2">
        <v>1</v>
      </c>
      <c r="D6" s="2">
        <f t="shared" si="0"/>
        <v>0.0004</v>
      </c>
      <c r="E6" s="2">
        <v>0.04</v>
      </c>
      <c r="F6">
        <f>$C6</f>
        <v>1</v>
      </c>
      <c r="G6">
        <f t="shared" si="1"/>
        <v>1</v>
      </c>
      <c r="H6">
        <f t="shared" si="1"/>
        <v>1</v>
      </c>
      <c r="I6" s="66">
        <f>C6+D6</f>
        <v>1.0004</v>
      </c>
      <c r="J6">
        <f t="shared" si="1"/>
        <v>1</v>
      </c>
      <c r="K6">
        <f t="shared" si="1"/>
        <v>1</v>
      </c>
      <c r="O6">
        <f t="shared" si="2"/>
        <v>0.04</v>
      </c>
      <c r="P6">
        <f t="shared" si="3"/>
        <v>0.0004</v>
      </c>
      <c r="Q6">
        <f t="shared" si="4"/>
        <v>1.6E-07</v>
      </c>
    </row>
    <row r="7" spans="2:17" ht="12.75">
      <c r="B7" t="s">
        <v>61</v>
      </c>
      <c r="C7" s="2">
        <v>0.07</v>
      </c>
      <c r="D7" s="2">
        <f t="shared" si="0"/>
        <v>1.4000000000000001E-05</v>
      </c>
      <c r="E7" s="2">
        <v>0.02</v>
      </c>
      <c r="F7">
        <f>$C7</f>
        <v>0.07</v>
      </c>
      <c r="G7">
        <f t="shared" si="1"/>
        <v>0.07</v>
      </c>
      <c r="H7">
        <f t="shared" si="1"/>
        <v>0.07</v>
      </c>
      <c r="I7">
        <f t="shared" si="1"/>
        <v>0.07</v>
      </c>
      <c r="J7" s="66">
        <f>C7+D7</f>
        <v>0.070014</v>
      </c>
      <c r="K7">
        <f t="shared" si="1"/>
        <v>0.07</v>
      </c>
      <c r="O7">
        <f t="shared" si="2"/>
        <v>0.02</v>
      </c>
      <c r="P7">
        <f t="shared" si="3"/>
        <v>0.0002</v>
      </c>
      <c r="Q7">
        <f t="shared" si="4"/>
        <v>4E-08</v>
      </c>
    </row>
    <row r="8" spans="2:17" ht="12.75">
      <c r="B8" t="s">
        <v>62</v>
      </c>
      <c r="C8" s="2">
        <v>0.821</v>
      </c>
      <c r="D8" s="2">
        <f t="shared" si="0"/>
        <v>0.0016420000000000002</v>
      </c>
      <c r="E8" s="2">
        <v>0.2</v>
      </c>
      <c r="F8">
        <f>$C8</f>
        <v>0.821</v>
      </c>
      <c r="G8">
        <f t="shared" si="1"/>
        <v>0.821</v>
      </c>
      <c r="H8">
        <f t="shared" si="1"/>
        <v>0.821</v>
      </c>
      <c r="I8">
        <f t="shared" si="1"/>
        <v>0.821</v>
      </c>
      <c r="J8">
        <f t="shared" si="1"/>
        <v>0.821</v>
      </c>
      <c r="K8" s="66">
        <f>C8+D8</f>
        <v>0.822642</v>
      </c>
      <c r="O8">
        <f t="shared" si="2"/>
        <v>0.2</v>
      </c>
      <c r="P8">
        <f t="shared" si="3"/>
        <v>0.002</v>
      </c>
      <c r="Q8">
        <f t="shared" si="4"/>
        <v>4E-06</v>
      </c>
    </row>
    <row r="10" spans="4:11" ht="13.5" thickBot="1">
      <c r="D10" t="s">
        <v>70</v>
      </c>
      <c r="F10" t="s">
        <v>57</v>
      </c>
      <c r="G10" t="s">
        <v>58</v>
      </c>
      <c r="H10" t="s">
        <v>59</v>
      </c>
      <c r="I10" t="s">
        <v>60</v>
      </c>
      <c r="J10" t="s">
        <v>61</v>
      </c>
      <c r="K10" t="s">
        <v>62</v>
      </c>
    </row>
    <row r="11" spans="2:11" ht="13.5" thickBot="1">
      <c r="B11" t="s">
        <v>66</v>
      </c>
      <c r="C11" s="69">
        <f>(C3*C4*C5*C8)/C6*C7</f>
        <v>0.40680139500000007</v>
      </c>
      <c r="D11" s="68">
        <f>SQRT(L13)</f>
        <v>0.0009974826676938185</v>
      </c>
      <c r="F11" s="67">
        <f aca="true" t="shared" si="5" ref="F11:K11">(F3*F4*F5*F8)/F6*F7</f>
        <v>0.4069641155580001</v>
      </c>
      <c r="G11" s="67">
        <f t="shared" si="5"/>
        <v>0.40692343541850007</v>
      </c>
      <c r="H11" s="67">
        <f t="shared" si="5"/>
        <v>0.40730989674375007</v>
      </c>
      <c r="I11" s="67">
        <f t="shared" si="5"/>
        <v>0.4066387395041984</v>
      </c>
      <c r="J11" s="67">
        <f t="shared" si="5"/>
        <v>0.40688275527900003</v>
      </c>
      <c r="K11" s="67">
        <f t="shared" si="5"/>
        <v>0.4076149977900001</v>
      </c>
    </row>
    <row r="12" spans="2:12" ht="12.75">
      <c r="B12" t="s">
        <v>71</v>
      </c>
      <c r="D12" s="69">
        <f>D11*2</f>
        <v>0.001994965335387637</v>
      </c>
      <c r="E12" t="s">
        <v>67</v>
      </c>
      <c r="F12">
        <f aca="true" t="shared" si="6" ref="F12:K12">$C$11-F11</f>
        <v>-0.00016272055800004015</v>
      </c>
      <c r="G12">
        <f t="shared" si="6"/>
        <v>-0.00012204041850000236</v>
      </c>
      <c r="H12">
        <f t="shared" si="6"/>
        <v>-0.0005085017437500006</v>
      </c>
      <c r="I12">
        <f t="shared" si="6"/>
        <v>0.00016265549580168903</v>
      </c>
      <c r="J12">
        <f t="shared" si="6"/>
        <v>-8.136027899996456E-05</v>
      </c>
      <c r="K12">
        <f t="shared" si="6"/>
        <v>-0.0008136027900000342</v>
      </c>
      <c r="L12" t="s">
        <v>69</v>
      </c>
    </row>
    <row r="13" spans="2:12" ht="12.75">
      <c r="B13" t="s">
        <v>72</v>
      </c>
      <c r="E13" t="s">
        <v>68</v>
      </c>
      <c r="F13">
        <f aca="true" t="shared" si="7" ref="F13:K13">F12*F12</f>
        <v>2.647797999584443E-08</v>
      </c>
      <c r="G13">
        <f t="shared" si="7"/>
        <v>1.4893863747655717E-08</v>
      </c>
      <c r="H13">
        <f t="shared" si="7"/>
        <v>2.5857402339679126E-07</v>
      </c>
      <c r="I13">
        <f t="shared" si="7"/>
        <v>2.6456810314493277E-08</v>
      </c>
      <c r="J13">
        <f t="shared" si="7"/>
        <v>6.619494998952075E-09</v>
      </c>
      <c r="K13">
        <f t="shared" si="7"/>
        <v>6.619494998958398E-07</v>
      </c>
      <c r="L13">
        <f>SUM(F13:K13)</f>
        <v>9.949716723495766E-07</v>
      </c>
    </row>
    <row r="14" spans="6:11" ht="12.75">
      <c r="F14" t="s">
        <v>57</v>
      </c>
      <c r="G14" t="s">
        <v>58</v>
      </c>
      <c r="H14" t="s">
        <v>59</v>
      </c>
      <c r="I14" t="s">
        <v>60</v>
      </c>
      <c r="J14" t="s">
        <v>61</v>
      </c>
      <c r="K14" t="s">
        <v>62</v>
      </c>
    </row>
    <row r="15" spans="5:12" ht="12.75">
      <c r="E15" t="s">
        <v>73</v>
      </c>
      <c r="F15">
        <f aca="true" t="shared" si="8" ref="F15:K15">F13/$L$13*100</f>
        <v>2.661179280945556</v>
      </c>
      <c r="G15">
        <f t="shared" si="8"/>
        <v>1.496913345531194</v>
      </c>
      <c r="H15">
        <f t="shared" si="8"/>
        <v>25.988078915471174</v>
      </c>
      <c r="I15">
        <f t="shared" si="8"/>
        <v>2.6590516142049374</v>
      </c>
      <c r="J15">
        <f t="shared" si="8"/>
        <v>0.665294820235481</v>
      </c>
      <c r="K15">
        <f t="shared" si="8"/>
        <v>66.52948202361165</v>
      </c>
      <c r="L15">
        <f>SUM(F15:K15)</f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L6" sqref="L6"/>
    </sheetView>
  </sheetViews>
  <sheetFormatPr defaultColWidth="9.140625" defaultRowHeight="12.75"/>
  <cols>
    <col min="3" max="3" width="10.00390625" style="0" bestFit="1" customWidth="1"/>
    <col min="10" max="10" width="6.28125" style="0" customWidth="1"/>
  </cols>
  <sheetData>
    <row r="1" spans="2:5" ht="30" customHeight="1">
      <c r="B1" s="143" t="s">
        <v>80</v>
      </c>
      <c r="C1" s="144"/>
      <c r="D1" s="144"/>
      <c r="E1" s="145"/>
    </row>
    <row r="2" spans="2:5" ht="20.25" customHeight="1" thickBot="1">
      <c r="B2" s="146" t="s">
        <v>112</v>
      </c>
      <c r="C2" s="147"/>
      <c r="D2" s="147"/>
      <c r="E2" s="148"/>
    </row>
    <row r="3" spans="1:10" ht="13.5" thickBot="1">
      <c r="A3" s="80" t="s">
        <v>79</v>
      </c>
      <c r="B3" s="139"/>
      <c r="C3" s="139"/>
      <c r="D3" s="140"/>
      <c r="G3" s="80" t="s">
        <v>82</v>
      </c>
      <c r="H3" s="81"/>
      <c r="I3" s="81"/>
      <c r="J3" s="82"/>
    </row>
    <row r="8" spans="2:9" ht="12.75">
      <c r="B8" s="71" t="s">
        <v>81</v>
      </c>
      <c r="C8" s="71" t="s">
        <v>53</v>
      </c>
      <c r="H8" s="71" t="s">
        <v>81</v>
      </c>
      <c r="I8" s="71" t="s">
        <v>53</v>
      </c>
    </row>
    <row r="9" spans="2:9" ht="12.75">
      <c r="B9" s="79">
        <v>0.002263</v>
      </c>
      <c r="C9" s="2">
        <f>B9/SQRT(3)</f>
        <v>0.001306543659176123</v>
      </c>
      <c r="H9" s="79">
        <v>0.005</v>
      </c>
      <c r="I9" s="2">
        <f>H9/SQRT(6)</f>
        <v>0.0020412414523193153</v>
      </c>
    </row>
    <row r="10" spans="2:9" ht="12.75">
      <c r="B10" s="79"/>
      <c r="C10" s="2"/>
      <c r="H10" s="79"/>
      <c r="I10" s="2"/>
    </row>
    <row r="11" spans="2:9" ht="12.75">
      <c r="B11" s="79"/>
      <c r="C11" s="2"/>
      <c r="H11" s="79"/>
      <c r="I11" s="2"/>
    </row>
    <row r="12" spans="2:9" ht="12.75">
      <c r="B12" s="79"/>
      <c r="C12" s="2"/>
      <c r="H12" s="79"/>
      <c r="I12" s="2"/>
    </row>
    <row r="13" spans="2:9" ht="12.75">
      <c r="B13" s="79"/>
      <c r="C13" s="2"/>
      <c r="H13" s="79"/>
      <c r="I13" s="2"/>
    </row>
    <row r="14" spans="1:7" ht="12.75">
      <c r="A14" s="72"/>
      <c r="B14" s="72"/>
      <c r="C14" s="72"/>
      <c r="D14" s="72"/>
      <c r="E14" s="72"/>
      <c r="G14" t="s">
        <v>83</v>
      </c>
    </row>
    <row r="15" spans="1:5" ht="12.75">
      <c r="A15" s="72"/>
      <c r="B15" s="72"/>
      <c r="C15" s="72"/>
      <c r="D15" s="72"/>
      <c r="E15" s="72"/>
    </row>
    <row r="16" spans="1:5" ht="13.5" thickBot="1">
      <c r="A16" s="72"/>
      <c r="B16" s="72"/>
      <c r="C16" s="72"/>
      <c r="D16" s="72"/>
      <c r="E16" s="72"/>
    </row>
    <row r="17" spans="1:10" ht="61.5" customHeight="1" thickBot="1">
      <c r="A17" s="149" t="s">
        <v>84</v>
      </c>
      <c r="B17" s="150"/>
      <c r="C17" s="150"/>
      <c r="D17" s="151"/>
      <c r="G17" s="149" t="s">
        <v>111</v>
      </c>
      <c r="H17" s="150"/>
      <c r="I17" s="150"/>
      <c r="J17" s="151"/>
    </row>
    <row r="19" spans="7:8" ht="12.75">
      <c r="G19">
        <v>1</v>
      </c>
      <c r="H19" s="83">
        <v>97.76</v>
      </c>
    </row>
    <row r="20" spans="7:8" ht="12.75">
      <c r="G20">
        <v>2</v>
      </c>
      <c r="H20" s="83">
        <v>97.9</v>
      </c>
    </row>
    <row r="21" spans="7:8" ht="12.75">
      <c r="G21">
        <v>3</v>
      </c>
      <c r="H21" s="83">
        <v>98.2</v>
      </c>
    </row>
    <row r="22" spans="3:8" ht="12.75">
      <c r="C22" s="71" t="s">
        <v>53</v>
      </c>
      <c r="D22" s="30" t="s">
        <v>95</v>
      </c>
      <c r="E22" t="s">
        <v>96</v>
      </c>
      <c r="F22" t="s">
        <v>39</v>
      </c>
      <c r="G22">
        <v>4</v>
      </c>
      <c r="H22" s="83">
        <v>97.98</v>
      </c>
    </row>
    <row r="23" spans="2:8" ht="12.75">
      <c r="B23" s="73" t="s">
        <v>85</v>
      </c>
      <c r="C23" s="111">
        <v>0.01</v>
      </c>
      <c r="D23" s="30">
        <f>C23*C23</f>
        <v>0.0001</v>
      </c>
      <c r="E23" s="69">
        <f>SUM(D23:D32)</f>
        <v>0.0001161323</v>
      </c>
      <c r="F23" s="112">
        <f>SQRT(E23)</f>
        <v>0.010776469737349054</v>
      </c>
      <c r="G23">
        <v>5</v>
      </c>
      <c r="H23" s="83">
        <v>98.4</v>
      </c>
    </row>
    <row r="24" spans="2:8" ht="12.75">
      <c r="B24" s="73" t="s">
        <v>86</v>
      </c>
      <c r="C24" s="113">
        <v>0.004</v>
      </c>
      <c r="D24" s="30">
        <f aca="true" t="shared" si="0" ref="D24:D32">C24*C24</f>
        <v>1.6E-05</v>
      </c>
      <c r="G24">
        <v>6</v>
      </c>
      <c r="H24" s="83">
        <v>98</v>
      </c>
    </row>
    <row r="25" spans="2:8" ht="12.75">
      <c r="B25" s="73" t="s">
        <v>87</v>
      </c>
      <c r="C25" s="111">
        <v>0.00036373066958946427</v>
      </c>
      <c r="D25" s="30">
        <f t="shared" si="0"/>
        <v>1.3230000000000001E-07</v>
      </c>
      <c r="G25">
        <v>7</v>
      </c>
      <c r="H25" s="83">
        <v>97.5</v>
      </c>
    </row>
    <row r="26" spans="2:8" ht="12.75">
      <c r="B26" s="73" t="s">
        <v>88</v>
      </c>
      <c r="C26" s="79"/>
      <c r="D26" s="30">
        <f t="shared" si="0"/>
        <v>0</v>
      </c>
      <c r="G26">
        <v>8</v>
      </c>
      <c r="H26" s="83">
        <v>98.3</v>
      </c>
    </row>
    <row r="27" spans="2:8" ht="12.75">
      <c r="B27" s="73" t="s">
        <v>89</v>
      </c>
      <c r="C27" s="79"/>
      <c r="D27" s="30">
        <f t="shared" si="0"/>
        <v>0</v>
      </c>
      <c r="G27">
        <v>9</v>
      </c>
      <c r="H27" s="83">
        <v>98.1</v>
      </c>
    </row>
    <row r="28" spans="2:8" ht="12.75">
      <c r="B28" s="73" t="s">
        <v>90</v>
      </c>
      <c r="C28" s="79"/>
      <c r="D28" s="30">
        <f t="shared" si="0"/>
        <v>0</v>
      </c>
      <c r="G28">
        <v>10</v>
      </c>
      <c r="H28" s="83">
        <v>98.5</v>
      </c>
    </row>
    <row r="29" spans="2:8" ht="12.75">
      <c r="B29" s="73" t="s">
        <v>91</v>
      </c>
      <c r="C29" s="79"/>
      <c r="D29" s="30">
        <f t="shared" si="0"/>
        <v>0</v>
      </c>
      <c r="G29">
        <v>11</v>
      </c>
      <c r="H29" s="83">
        <v>98</v>
      </c>
    </row>
    <row r="30" spans="2:8" ht="12.75">
      <c r="B30" s="73" t="s">
        <v>92</v>
      </c>
      <c r="C30" s="79"/>
      <c r="D30" s="30">
        <f t="shared" si="0"/>
        <v>0</v>
      </c>
      <c r="G30" s="62" t="s">
        <v>54</v>
      </c>
      <c r="H30" s="65">
        <f>STDEV(H19:H29)</f>
        <v>0.2882297063783931</v>
      </c>
    </row>
    <row r="31" spans="2:8" ht="12.75">
      <c r="B31" s="74" t="s">
        <v>93</v>
      </c>
      <c r="C31" s="79"/>
      <c r="D31" s="30">
        <f t="shared" si="0"/>
        <v>0</v>
      </c>
      <c r="G31" t="s">
        <v>55</v>
      </c>
      <c r="H31">
        <f>AVERAGE(H19:H29)</f>
        <v>98.05818181818181</v>
      </c>
    </row>
    <row r="32" spans="2:8" ht="12.75">
      <c r="B32" s="74" t="s">
        <v>94</v>
      </c>
      <c r="C32" s="79"/>
      <c r="D32" s="30">
        <f t="shared" si="0"/>
        <v>0</v>
      </c>
      <c r="G32" t="s">
        <v>56</v>
      </c>
      <c r="H32">
        <f>H30/H31*100</f>
        <v>0.2939374369726994</v>
      </c>
    </row>
    <row r="33" spans="3:4" ht="12.75">
      <c r="C33" s="2"/>
      <c r="D33" s="30"/>
    </row>
    <row r="34" spans="1:5" ht="12.75">
      <c r="A34" s="72"/>
      <c r="B34" s="72"/>
      <c r="C34" s="72"/>
      <c r="D34" s="72"/>
      <c r="E34" s="72"/>
    </row>
    <row r="35" spans="1:5" ht="12.75">
      <c r="A35" s="72"/>
      <c r="B35" s="72"/>
      <c r="C35" s="72"/>
      <c r="D35" s="72"/>
      <c r="E35" s="72"/>
    </row>
    <row r="36" spans="1:5" ht="12.75">
      <c r="A36" s="72"/>
      <c r="B36" s="72"/>
      <c r="C36" s="72"/>
      <c r="D36" s="72"/>
      <c r="E36" s="72"/>
    </row>
  </sheetData>
  <mergeCells count="4">
    <mergeCell ref="B1:E1"/>
    <mergeCell ref="B2:E2"/>
    <mergeCell ref="G17:J17"/>
    <mergeCell ref="A17:D17"/>
  </mergeCells>
  <printOptions/>
  <pageMargins left="0.75" right="0.75" top="1" bottom="1" header="0.5" footer="0.5"/>
  <pageSetup horizontalDpi="600" verticalDpi="600" orientation="portrait" r:id="rId5"/>
  <legacyDrawing r:id="rId4"/>
  <oleObjects>
    <oleObject progId="Equation.3" shapeId="70210609" r:id="rId1"/>
    <oleObject progId="Equation.3" shapeId="70221465" r:id="rId2"/>
    <oleObject progId="Equation.3" shapeId="70271274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1:S24"/>
  <sheetViews>
    <sheetView workbookViewId="0" topLeftCell="A1">
      <selection activeCell="D10" sqref="D10"/>
    </sheetView>
  </sheetViews>
  <sheetFormatPr defaultColWidth="9.140625" defaultRowHeight="12.75"/>
  <cols>
    <col min="5" max="6" width="12.421875" style="0" bestFit="1" customWidth="1"/>
    <col min="7" max="7" width="9.421875" style="0" bestFit="1" customWidth="1"/>
    <col min="11" max="11" width="12.421875" style="0" bestFit="1" customWidth="1"/>
    <col min="19" max="19" width="12.421875" style="0" bestFit="1" customWidth="1"/>
  </cols>
  <sheetData>
    <row r="1" spans="2:11" ht="33.75" customHeight="1">
      <c r="B1" s="141" t="s">
        <v>114</v>
      </c>
      <c r="C1" s="142"/>
      <c r="D1" s="142"/>
      <c r="E1" s="142"/>
      <c r="F1" s="142"/>
      <c r="G1" s="142"/>
      <c r="H1" s="142"/>
      <c r="I1" s="142"/>
      <c r="J1" s="142"/>
      <c r="K1" s="142"/>
    </row>
    <row r="4" spans="2:8" ht="12.75">
      <c r="B4" s="62"/>
      <c r="C4" s="62" t="s">
        <v>97</v>
      </c>
      <c r="D4" t="s">
        <v>102</v>
      </c>
      <c r="E4" t="s">
        <v>99</v>
      </c>
      <c r="F4" t="s">
        <v>100</v>
      </c>
      <c r="G4" t="s">
        <v>101</v>
      </c>
      <c r="H4" t="s">
        <v>103</v>
      </c>
    </row>
    <row r="5" spans="2:8" ht="12.75">
      <c r="B5" s="62"/>
      <c r="C5" s="62" t="s">
        <v>63</v>
      </c>
      <c r="D5">
        <v>1</v>
      </c>
      <c r="E5">
        <v>0.3888</v>
      </c>
      <c r="F5">
        <v>1</v>
      </c>
      <c r="G5">
        <v>204.2212</v>
      </c>
      <c r="H5">
        <v>18.64</v>
      </c>
    </row>
    <row r="6" spans="2:8" ht="12.75">
      <c r="B6" s="62"/>
      <c r="C6" s="62" t="s">
        <v>98</v>
      </c>
      <c r="D6">
        <v>0.0005</v>
      </c>
      <c r="E6">
        <v>0.00013</v>
      </c>
      <c r="F6">
        <v>0.00029</v>
      </c>
      <c r="G6">
        <v>0.0038</v>
      </c>
      <c r="H6">
        <v>0.013</v>
      </c>
    </row>
    <row r="7" spans="2:3" ht="12.75">
      <c r="B7" s="62"/>
      <c r="C7" s="62"/>
    </row>
    <row r="8" spans="2:19" ht="12.75">
      <c r="B8" s="2"/>
      <c r="C8" s="89" t="s">
        <v>104</v>
      </c>
      <c r="D8" s="89" t="s">
        <v>105</v>
      </c>
      <c r="E8" s="89" t="s">
        <v>106</v>
      </c>
      <c r="F8" s="87" t="s">
        <v>102</v>
      </c>
      <c r="G8" s="87" t="s">
        <v>99</v>
      </c>
      <c r="H8" s="87" t="s">
        <v>100</v>
      </c>
      <c r="I8" s="87" t="s">
        <v>101</v>
      </c>
      <c r="J8" s="87" t="s">
        <v>103</v>
      </c>
      <c r="N8" s="2" t="s">
        <v>65</v>
      </c>
      <c r="O8" t="s">
        <v>56</v>
      </c>
      <c r="P8" t="s">
        <v>75</v>
      </c>
      <c r="Q8" t="s">
        <v>76</v>
      </c>
      <c r="R8" t="s">
        <v>77</v>
      </c>
      <c r="S8" t="s">
        <v>78</v>
      </c>
    </row>
    <row r="9" spans="2:19" ht="12.75">
      <c r="B9" s="87" t="s">
        <v>102</v>
      </c>
      <c r="C9" s="71">
        <v>1</v>
      </c>
      <c r="D9" s="89">
        <v>0.0005</v>
      </c>
      <c r="E9" s="90">
        <f>D9/C9</f>
        <v>0.0005</v>
      </c>
      <c r="F9" s="88">
        <f>$C9+D9</f>
        <v>1.0005</v>
      </c>
      <c r="G9" s="2">
        <f aca="true" t="shared" si="0" ref="G9:J13">$C9</f>
        <v>1</v>
      </c>
      <c r="H9" s="2">
        <f t="shared" si="0"/>
        <v>1</v>
      </c>
      <c r="I9" s="2">
        <f t="shared" si="0"/>
        <v>1</v>
      </c>
      <c r="J9" s="2">
        <f t="shared" si="0"/>
        <v>1</v>
      </c>
      <c r="M9" t="s">
        <v>74</v>
      </c>
      <c r="N9" s="70">
        <f>E9</f>
        <v>0.0005</v>
      </c>
      <c r="O9">
        <f>N9/100</f>
        <v>5E-06</v>
      </c>
      <c r="P9">
        <f>O9*O9</f>
        <v>2.5000000000000004E-11</v>
      </c>
      <c r="Q9">
        <f>SUM(P9:P14)</f>
        <v>9.32645752250934E-11</v>
      </c>
      <c r="R9">
        <f>SQRT(Q9)</f>
        <v>9.657358604975451E-06</v>
      </c>
      <c r="S9">
        <f>R9*C15</f>
        <v>9.86365520823522E-07</v>
      </c>
    </row>
    <row r="10" spans="2:16" ht="12.75">
      <c r="B10" s="87" t="s">
        <v>99</v>
      </c>
      <c r="C10" s="71">
        <v>0.3888</v>
      </c>
      <c r="D10" s="89">
        <v>0.00013</v>
      </c>
      <c r="E10" s="90">
        <f>D10/C10</f>
        <v>0.0003343621399176955</v>
      </c>
      <c r="F10" s="2">
        <f>$C10</f>
        <v>0.3888</v>
      </c>
      <c r="G10" s="88">
        <f>$C10+D10</f>
        <v>0.38893</v>
      </c>
      <c r="H10" s="2">
        <f t="shared" si="0"/>
        <v>0.3888</v>
      </c>
      <c r="I10" s="2">
        <f t="shared" si="0"/>
        <v>0.3888</v>
      </c>
      <c r="J10" s="2">
        <f t="shared" si="0"/>
        <v>0.3888</v>
      </c>
      <c r="N10" s="70">
        <f>E10</f>
        <v>0.0003343621399176955</v>
      </c>
      <c r="O10">
        <f>N10/100</f>
        <v>3.3436213991769548E-06</v>
      </c>
      <c r="P10">
        <f>O10*O10</f>
        <v>1.1179804061034057E-11</v>
      </c>
    </row>
    <row r="11" spans="2:16" ht="12.75">
      <c r="B11" s="87" t="s">
        <v>100</v>
      </c>
      <c r="C11" s="71">
        <v>1</v>
      </c>
      <c r="D11" s="89">
        <v>0.00029</v>
      </c>
      <c r="E11" s="90">
        <f>D11/C11</f>
        <v>0.00029</v>
      </c>
      <c r="F11" s="2">
        <f>$C11</f>
        <v>1</v>
      </c>
      <c r="G11" s="2">
        <f t="shared" si="0"/>
        <v>1</v>
      </c>
      <c r="H11" s="88">
        <f>$C11+D11</f>
        <v>1.00029</v>
      </c>
      <c r="I11" s="2">
        <f t="shared" si="0"/>
        <v>1</v>
      </c>
      <c r="J11" s="2">
        <f t="shared" si="0"/>
        <v>1</v>
      </c>
      <c r="N11" s="70">
        <f>E11</f>
        <v>0.00029</v>
      </c>
      <c r="O11">
        <f>N11/100</f>
        <v>2.9E-06</v>
      </c>
      <c r="P11">
        <f>O11*O11</f>
        <v>8.410000000000002E-12</v>
      </c>
    </row>
    <row r="12" spans="2:16" ht="12.75">
      <c r="B12" s="87" t="s">
        <v>101</v>
      </c>
      <c r="C12" s="71">
        <v>204.2212</v>
      </c>
      <c r="D12" s="89">
        <v>0.0038</v>
      </c>
      <c r="E12" s="90">
        <f>D12/C12</f>
        <v>1.8607274856870882E-05</v>
      </c>
      <c r="F12" s="2">
        <f>$C12</f>
        <v>204.2212</v>
      </c>
      <c r="G12" s="2">
        <f t="shared" si="0"/>
        <v>204.2212</v>
      </c>
      <c r="H12" s="2">
        <f t="shared" si="0"/>
        <v>204.2212</v>
      </c>
      <c r="I12" s="88">
        <f>$C12+D12</f>
        <v>204.22500000000002</v>
      </c>
      <c r="J12" s="2">
        <f t="shared" si="0"/>
        <v>204.2212</v>
      </c>
      <c r="N12" s="70">
        <f>E12</f>
        <v>1.8607274856870882E-05</v>
      </c>
      <c r="O12">
        <f>N12/100</f>
        <v>1.8607274856870881E-07</v>
      </c>
      <c r="P12">
        <f>O12*O12</f>
        <v>3.462306775991393E-14</v>
      </c>
    </row>
    <row r="13" spans="2:16" ht="12.75">
      <c r="B13" s="87" t="s">
        <v>103</v>
      </c>
      <c r="C13" s="71">
        <v>18.64</v>
      </c>
      <c r="D13" s="89">
        <v>0.013</v>
      </c>
      <c r="E13" s="90">
        <f>D13/C13</f>
        <v>0.0006974248927038626</v>
      </c>
      <c r="F13" s="2">
        <f>$C13</f>
        <v>18.64</v>
      </c>
      <c r="G13" s="2">
        <f t="shared" si="0"/>
        <v>18.64</v>
      </c>
      <c r="H13" s="2">
        <f t="shared" si="0"/>
        <v>18.64</v>
      </c>
      <c r="I13" s="2">
        <f t="shared" si="0"/>
        <v>18.64</v>
      </c>
      <c r="J13" s="88">
        <f>$C13+D13</f>
        <v>18.653000000000002</v>
      </c>
      <c r="N13" s="70">
        <f>E13</f>
        <v>0.0006974248927038626</v>
      </c>
      <c r="O13">
        <f>N13/100</f>
        <v>6.974248927038627E-06</v>
      </c>
      <c r="P13">
        <f>O13*O13</f>
        <v>4.864014809629944E-11</v>
      </c>
    </row>
    <row r="15" spans="2:10" ht="12.75">
      <c r="B15" s="67" t="s">
        <v>107</v>
      </c>
      <c r="C15" s="69">
        <f>(1000*C10*C11*C9)/(C12*C13)</f>
        <v>0.10213615970679069</v>
      </c>
      <c r="D15" s="78">
        <f>SQRT(K17)</f>
        <v>9.860070560109398E-05</v>
      </c>
      <c r="F15" s="69">
        <f>(1000*F10*F11*F9)/(F12*F13)</f>
        <v>0.10218722778664407</v>
      </c>
      <c r="G15" s="69">
        <f>(1000*G10*G11*G9)/(G12*G13)</f>
        <v>0.10217031017171323</v>
      </c>
      <c r="H15" s="69">
        <f>(1000*H10*H11*H9)/(H12*H13)</f>
        <v>0.10216577919310564</v>
      </c>
      <c r="I15" s="69">
        <f>(1000*I10*I11*I9)/(I12*I13)</f>
        <v>0.10213425926655621</v>
      </c>
      <c r="J15" s="69">
        <f>(1000*J10*J11*J9)/(J12*J13)</f>
        <v>0.10206497705112198</v>
      </c>
    </row>
    <row r="16" spans="5:11" ht="12.75">
      <c r="E16" t="s">
        <v>108</v>
      </c>
      <c r="F16" s="76">
        <f>$C$15-F15</f>
        <v>-5.1068079853389126E-05</v>
      </c>
      <c r="G16" s="76">
        <f>$C$15-G15</f>
        <v>-3.415046492254159E-05</v>
      </c>
      <c r="H16" s="76">
        <f>$C$15-H15</f>
        <v>-2.9619486314955146E-05</v>
      </c>
      <c r="I16" s="76">
        <f>$C$15-I15</f>
        <v>1.9004402344729998E-06</v>
      </c>
      <c r="J16" s="76">
        <f>$C$15-J15</f>
        <v>7.118265566870285E-05</v>
      </c>
      <c r="K16" t="s">
        <v>96</v>
      </c>
    </row>
    <row r="17" spans="5:11" ht="12.75">
      <c r="E17" t="s">
        <v>109</v>
      </c>
      <c r="F17">
        <f>F16*F16</f>
        <v>2.6079487799121284E-09</v>
      </c>
      <c r="G17" s="77">
        <f>G16*G16</f>
        <v>1.1662542544257435E-09</v>
      </c>
      <c r="H17">
        <f>H16*H16</f>
        <v>8.773139695618152E-10</v>
      </c>
      <c r="I17">
        <f>I16*I16</f>
        <v>3.6116730848037905E-12</v>
      </c>
      <c r="J17">
        <f>J16*J16</f>
        <v>5.0669704680491145E-09</v>
      </c>
      <c r="K17">
        <f>SUM(F17:J17)</f>
        <v>9.722099145033605E-09</v>
      </c>
    </row>
    <row r="18" spans="5:11" ht="12.75">
      <c r="E18" t="s">
        <v>37</v>
      </c>
      <c r="F18" s="75">
        <f>F17/$K$17</f>
        <v>0.2682495560893721</v>
      </c>
      <c r="G18" s="75">
        <f>G17/$K$17</f>
        <v>0.11995909906159595</v>
      </c>
      <c r="H18" s="75">
        <f>H17/$K$17</f>
        <v>0.0902391506684005</v>
      </c>
      <c r="I18" s="40">
        <f>I17/$K$17</f>
        <v>0.00037149107727920696</v>
      </c>
      <c r="J18" s="75">
        <f>J17/$K$17</f>
        <v>0.5211807031033523</v>
      </c>
      <c r="K18" s="75">
        <f>SUM(F18:J18)</f>
        <v>1</v>
      </c>
    </row>
    <row r="19" spans="5:10" ht="12.75">
      <c r="E19" s="67" t="s">
        <v>107</v>
      </c>
      <c r="F19" t="s">
        <v>102</v>
      </c>
      <c r="G19" t="s">
        <v>99</v>
      </c>
      <c r="H19" t="s">
        <v>100</v>
      </c>
      <c r="I19" t="s">
        <v>101</v>
      </c>
      <c r="J19" t="s">
        <v>103</v>
      </c>
    </row>
    <row r="20" spans="5:10" ht="12.75">
      <c r="E20">
        <f>D15</f>
        <v>9.860070560109398E-05</v>
      </c>
      <c r="F20">
        <f>SQRT(F17)</f>
        <v>5.1068079853389126E-05</v>
      </c>
      <c r="G20">
        <f>SQRT(G17)</f>
        <v>3.415046492254159E-05</v>
      </c>
      <c r="H20">
        <f>SQRT(H17)</f>
        <v>2.9619486314955146E-05</v>
      </c>
      <c r="I20">
        <f>SQRT(I17)</f>
        <v>1.9004402344729998E-06</v>
      </c>
      <c r="J20">
        <f>SQRT(J17)</f>
        <v>7.118265566870285E-05</v>
      </c>
    </row>
    <row r="24" ht="12.75">
      <c r="L24" s="1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r:id="rId4"/>
  <drawing r:id="rId3"/>
  <legacyDrawing r:id="rId2"/>
  <oleObjects>
    <oleObject progId="Equation.3" shapeId="7033763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E19" sqref="E19"/>
    </sheetView>
  </sheetViews>
  <sheetFormatPr defaultColWidth="9.140625" defaultRowHeight="12.75"/>
  <cols>
    <col min="1" max="1" width="15.7109375" style="94" customWidth="1"/>
    <col min="2" max="2" width="9.140625" style="92" customWidth="1"/>
    <col min="3" max="3" width="6.57421875" style="93" customWidth="1"/>
    <col min="4" max="4" width="11.57421875" style="94" customWidth="1"/>
    <col min="5" max="6" width="11.28125" style="94" customWidth="1"/>
    <col min="7" max="7" width="12.28125" style="94" customWidth="1"/>
    <col min="8" max="8" width="9.140625" style="92" customWidth="1"/>
    <col min="9" max="16384" width="9.140625" style="94" customWidth="1"/>
  </cols>
  <sheetData>
    <row r="1" ht="18">
      <c r="A1" s="91" t="s">
        <v>115</v>
      </c>
    </row>
    <row r="3" spans="2:8" ht="13.5" thickBot="1">
      <c r="B3" s="95" t="s">
        <v>0</v>
      </c>
      <c r="C3" s="96" t="s">
        <v>116</v>
      </c>
      <c r="D3" s="152" t="s">
        <v>117</v>
      </c>
      <c r="E3" s="152"/>
      <c r="F3" s="152"/>
      <c r="G3" s="152"/>
      <c r="H3" s="95" t="s">
        <v>118</v>
      </c>
    </row>
    <row r="4" spans="4:13" ht="12.75">
      <c r="D4" s="97"/>
      <c r="E4" s="97"/>
      <c r="F4" s="97"/>
      <c r="G4" s="97"/>
      <c r="M4" s="98"/>
    </row>
    <row r="7" ht="12.75">
      <c r="A7" s="99" t="s">
        <v>119</v>
      </c>
    </row>
    <row r="8" spans="4:6" ht="12.75">
      <c r="D8" s="93" t="s">
        <v>126</v>
      </c>
      <c r="E8" s="93"/>
      <c r="F8" s="93"/>
    </row>
    <row r="9" spans="1:8" ht="15.75">
      <c r="A9" s="100" t="s">
        <v>127</v>
      </c>
      <c r="B9" s="101">
        <v>47.9</v>
      </c>
      <c r="C9" s="102" t="s">
        <v>128</v>
      </c>
      <c r="D9" s="103">
        <v>2.6</v>
      </c>
      <c r="E9" s="104"/>
      <c r="F9" s="104"/>
      <c r="H9" s="101">
        <f>D9/2</f>
        <v>1.3</v>
      </c>
    </row>
    <row r="10" ht="12.75">
      <c r="A10" s="99"/>
    </row>
    <row r="13" ht="12.75">
      <c r="A13" s="92" t="s">
        <v>120</v>
      </c>
    </row>
    <row r="15" spans="1:8" ht="12.75">
      <c r="A15" s="94" t="s">
        <v>121</v>
      </c>
      <c r="C15" s="94">
        <v>46.2</v>
      </c>
      <c r="D15" s="94">
        <v>45.2</v>
      </c>
      <c r="E15" s="94">
        <v>47.4</v>
      </c>
      <c r="F15" s="94">
        <v>47.7</v>
      </c>
      <c r="G15" s="105">
        <v>44.2</v>
      </c>
      <c r="H15" s="94"/>
    </row>
    <row r="16" spans="1:10" s="106" customFormat="1" ht="12.75">
      <c r="A16" s="105" t="s">
        <v>122</v>
      </c>
      <c r="B16" s="92"/>
      <c r="C16" s="93">
        <f>AVERAGE(C15:G15)</f>
        <v>46.14</v>
      </c>
      <c r="D16" s="94"/>
      <c r="E16" s="94"/>
      <c r="F16" s="94"/>
      <c r="G16" s="94"/>
      <c r="H16" s="92"/>
      <c r="I16" s="94"/>
      <c r="J16" s="94"/>
    </row>
    <row r="17" spans="1:10" s="106" customFormat="1" ht="12.75">
      <c r="A17" s="105" t="s">
        <v>123</v>
      </c>
      <c r="B17" s="92"/>
      <c r="C17" s="93">
        <f>STDEV(C15:G15)</f>
        <v>1.4724129855446721</v>
      </c>
      <c r="D17" s="94"/>
      <c r="E17" s="94"/>
      <c r="F17" s="94"/>
      <c r="G17" s="94"/>
      <c r="H17" s="92"/>
      <c r="I17" s="94"/>
      <c r="J17" s="94"/>
    </row>
    <row r="18" spans="1:10" s="106" customFormat="1" ht="12.75">
      <c r="A18" s="105"/>
      <c r="B18" s="92"/>
      <c r="C18" s="93"/>
      <c r="D18" s="94"/>
      <c r="E18" s="94"/>
      <c r="F18" s="94"/>
      <c r="G18" s="94"/>
      <c r="H18" s="92"/>
      <c r="I18" s="94"/>
      <c r="J18" s="94"/>
    </row>
    <row r="19" spans="1:10" s="106" customFormat="1" ht="12.75">
      <c r="A19" s="105"/>
      <c r="B19" s="92"/>
      <c r="C19" s="93"/>
      <c r="D19" s="93" t="s">
        <v>124</v>
      </c>
      <c r="E19" s="94"/>
      <c r="F19" s="94"/>
      <c r="G19" s="94"/>
      <c r="H19" s="92"/>
      <c r="I19" s="94"/>
      <c r="J19" s="94"/>
    </row>
    <row r="20" spans="1:8" ht="15.75">
      <c r="A20" s="100" t="s">
        <v>129</v>
      </c>
      <c r="B20" s="101">
        <f>C16</f>
        <v>46.14</v>
      </c>
      <c r="C20" s="102" t="s">
        <v>128</v>
      </c>
      <c r="D20" s="103">
        <f>C17</f>
        <v>1.4724129855446721</v>
      </c>
      <c r="E20" s="104"/>
      <c r="F20" s="104"/>
      <c r="H20" s="101">
        <f>D20</f>
        <v>1.4724129855446721</v>
      </c>
    </row>
    <row r="21" spans="2:8" ht="12.75">
      <c r="B21" s="94"/>
      <c r="C21" s="94"/>
      <c r="H21" s="94"/>
    </row>
    <row r="23" ht="12.75">
      <c r="A23" s="92" t="s">
        <v>115</v>
      </c>
    </row>
    <row r="24" ht="12.75"/>
    <row r="25" ht="12.75"/>
    <row r="26" ht="12.75"/>
    <row r="27" ht="12.75"/>
    <row r="28" ht="12.75"/>
    <row r="29" spans="2:8" ht="12.75">
      <c r="B29" s="94"/>
      <c r="C29" s="94"/>
      <c r="H29" s="94"/>
    </row>
    <row r="30" spans="4:6" ht="15.75">
      <c r="D30" s="107" t="s">
        <v>130</v>
      </c>
      <c r="E30" s="107" t="s">
        <v>131</v>
      </c>
      <c r="F30" s="108"/>
    </row>
    <row r="31" spans="1:8" ht="12.75">
      <c r="A31" s="109" t="s">
        <v>125</v>
      </c>
      <c r="B31" s="101">
        <f>B20/B9</f>
        <v>0.9632567849686848</v>
      </c>
      <c r="C31" s="102"/>
      <c r="D31" s="110">
        <f>H9/B9</f>
        <v>0.027139874739039668</v>
      </c>
      <c r="E31" s="110">
        <f>H20/B20</f>
        <v>0.031911854909940876</v>
      </c>
      <c r="H31" s="101">
        <f>B31*SQRT(SUMSQ(D31:E31))</f>
        <v>0.04035274887448621</v>
      </c>
    </row>
  </sheetData>
  <mergeCells count="1">
    <mergeCell ref="D3:G3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4"/>
  <legacyDrawing r:id="rId3"/>
  <oleObjects>
    <oleObject progId="Equation.3" shapeId="3791555" r:id="rId1"/>
    <oleObject progId="Equation.3" shapeId="381772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Kurs</dc:creator>
  <cp:keywords/>
  <dc:description/>
  <cp:lastModifiedBy>Veselin KMETOV</cp:lastModifiedBy>
  <cp:lastPrinted>2004-11-17T15:27:52Z</cp:lastPrinted>
  <dcterms:created xsi:type="dcterms:W3CDTF">2003-06-19T12:33:21Z</dcterms:created>
  <dcterms:modified xsi:type="dcterms:W3CDTF">2006-03-08T15:35:28Z</dcterms:modified>
  <cp:category/>
  <cp:version/>
  <cp:contentType/>
  <cp:contentStatus/>
</cp:coreProperties>
</file>